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340" windowHeight="6675" tabRatio="669" activeTab="0"/>
  </bookViews>
  <sheets>
    <sheet name="Notes" sheetId="1" r:id="rId1"/>
    <sheet name="Revenue Detail" sheetId="2" r:id="rId2"/>
    <sheet name="Expenditure Detail" sheetId="3" r:id="rId3"/>
    <sheet name="Budget Summary" sheetId="4" r:id="rId4"/>
    <sheet name="Monthly report" sheetId="5" r:id="rId5"/>
    <sheet name="libraries" sheetId="6" r:id="rId6"/>
  </sheets>
  <definedNames/>
  <calcPr fullCalcOnLoad="1"/>
</workbook>
</file>

<file path=xl/sharedStrings.xml><?xml version="1.0" encoding="utf-8"?>
<sst xmlns="http://schemas.openxmlformats.org/spreadsheetml/2006/main" count="231" uniqueCount="160">
  <si>
    <t>Expenditures</t>
  </si>
  <si>
    <t>Personnel</t>
  </si>
  <si>
    <t>Wages</t>
  </si>
  <si>
    <t>Total</t>
  </si>
  <si>
    <t>Collections</t>
  </si>
  <si>
    <t>Books</t>
  </si>
  <si>
    <t>Other</t>
  </si>
  <si>
    <t>Utilities</t>
  </si>
  <si>
    <t>Mileage</t>
  </si>
  <si>
    <t>Insurance</t>
  </si>
  <si>
    <t>Capital</t>
  </si>
  <si>
    <t>Dehumidifier</t>
  </si>
  <si>
    <t>Total Expenditures</t>
  </si>
  <si>
    <t>Unemployment</t>
  </si>
  <si>
    <t>Difference</t>
  </si>
  <si>
    <t>Revenue</t>
  </si>
  <si>
    <t xml:space="preserve">Fines </t>
  </si>
  <si>
    <t>Donations</t>
  </si>
  <si>
    <t>Copies/Fax Fees</t>
  </si>
  <si>
    <t>Fees &amp; Fines</t>
  </si>
  <si>
    <t>Carryover</t>
  </si>
  <si>
    <t>Total Fines &amp; Fees</t>
  </si>
  <si>
    <t>Total Donations</t>
  </si>
  <si>
    <t>Fees/Fines</t>
  </si>
  <si>
    <t>Prior Year Carryover</t>
  </si>
  <si>
    <t>Total Revenue</t>
  </si>
  <si>
    <t>Grants</t>
  </si>
  <si>
    <t>Literacy</t>
  </si>
  <si>
    <t>Rotary Spanish Language</t>
  </si>
  <si>
    <t>Home municipality</t>
  </si>
  <si>
    <t>Home county</t>
  </si>
  <si>
    <t>Government</t>
  </si>
  <si>
    <t>Total Government</t>
  </si>
  <si>
    <t>Township allocation</t>
  </si>
  <si>
    <t>Donations and gifts</t>
  </si>
  <si>
    <t>Revenue vs Expenditures</t>
  </si>
  <si>
    <t>XYZ Public Library</t>
  </si>
  <si>
    <t xml:space="preserve">Summary </t>
  </si>
  <si>
    <t>Monthly Budget Report</t>
  </si>
  <si>
    <t>Budgeted Amount</t>
  </si>
  <si>
    <t>Over/Under Budget</t>
  </si>
  <si>
    <t>May</t>
  </si>
  <si>
    <t>City &amp; County</t>
  </si>
  <si>
    <t>Adjacent county 1</t>
  </si>
  <si>
    <t>Adjacent county 2</t>
  </si>
  <si>
    <t>January</t>
  </si>
  <si>
    <t>February</t>
  </si>
  <si>
    <t>March</t>
  </si>
  <si>
    <t>April</t>
  </si>
  <si>
    <t>June</t>
  </si>
  <si>
    <t xml:space="preserve">July </t>
  </si>
  <si>
    <t>August</t>
  </si>
  <si>
    <t>September</t>
  </si>
  <si>
    <t>October</t>
  </si>
  <si>
    <t>November</t>
  </si>
  <si>
    <t>December</t>
  </si>
  <si>
    <t>Home Municipality</t>
  </si>
  <si>
    <t>Home County</t>
  </si>
  <si>
    <t>Townships and Other Counties</t>
  </si>
  <si>
    <t>Copy &amp; printer fees</t>
  </si>
  <si>
    <t>Fines</t>
  </si>
  <si>
    <t xml:space="preserve"> </t>
  </si>
  <si>
    <t>Monthly Report Sheet</t>
  </si>
  <si>
    <t>Budget Details and Summary Sheets</t>
  </si>
  <si>
    <t xml:space="preserve">These are formatted to print on letter sized paper in portrait format.  </t>
  </si>
  <si>
    <t>This is formatted to print out on legal sized paper in landscape format.</t>
  </si>
  <si>
    <r>
      <t xml:space="preserve">Everything on the Summary Sheet </t>
    </r>
    <r>
      <rPr>
        <sz val="10"/>
        <rFont val="Arial"/>
        <family val="0"/>
      </rPr>
      <t>feeds from the two Detail sheets.  You shouldn't have to do anything with it unless you add categories or make other changes in the Detail sheets</t>
    </r>
  </si>
  <si>
    <t>June 2012</t>
  </si>
  <si>
    <t>Income</t>
  </si>
  <si>
    <t>Adjacent county</t>
  </si>
  <si>
    <t>Other governmental</t>
  </si>
  <si>
    <t>Grant</t>
  </si>
  <si>
    <t>Gifts &amp; donations</t>
  </si>
  <si>
    <t>Fines &amp; fees</t>
  </si>
  <si>
    <t xml:space="preserve">Other </t>
  </si>
  <si>
    <t>Total Income</t>
  </si>
  <si>
    <t>Expenses</t>
  </si>
  <si>
    <t>Wages &amp; salaries</t>
  </si>
  <si>
    <t>Benefits</t>
  </si>
  <si>
    <t>Electronic</t>
  </si>
  <si>
    <t>other materials</t>
  </si>
  <si>
    <t>supplies</t>
  </si>
  <si>
    <t>automation</t>
  </si>
  <si>
    <t>equipment</t>
  </si>
  <si>
    <t>Hancock</t>
  </si>
  <si>
    <t>Endeavor</t>
  </si>
  <si>
    <t>Coloma</t>
  </si>
  <si>
    <t>Wild Rose</t>
  </si>
  <si>
    <t>Plainfield</t>
  </si>
  <si>
    <t>Poy Sippi</t>
  </si>
  <si>
    <t>Oakfield</t>
  </si>
  <si>
    <t>Westfield</t>
  </si>
  <si>
    <t>Packwaukee</t>
  </si>
  <si>
    <t>Princeton</t>
  </si>
  <si>
    <t>Montello</t>
  </si>
  <si>
    <t>Pine River</t>
  </si>
  <si>
    <t>Average</t>
  </si>
  <si>
    <t>2013 Budget</t>
  </si>
  <si>
    <t>2011 Actual</t>
  </si>
  <si>
    <t>2012 Budget</t>
  </si>
  <si>
    <t xml:space="preserve">2013 Proposed </t>
  </si>
  <si>
    <t>Post Office Box rental</t>
  </si>
  <si>
    <t>Pharos</t>
  </si>
  <si>
    <t>Magazines/Newspapers</t>
  </si>
  <si>
    <t>Building maintenance</t>
  </si>
  <si>
    <t>Office supplies</t>
  </si>
  <si>
    <t>Continuing Education</t>
  </si>
  <si>
    <t>Postage</t>
  </si>
  <si>
    <t>phone</t>
  </si>
  <si>
    <t>Processing supplies</t>
  </si>
  <si>
    <t>Promotions</t>
  </si>
  <si>
    <t>Programs</t>
  </si>
  <si>
    <t>Bank charges</t>
  </si>
  <si>
    <t>Copier maintenance</t>
  </si>
  <si>
    <t>Interlibrary loan</t>
  </si>
  <si>
    <t>Services</t>
  </si>
  <si>
    <t>Professional fees</t>
  </si>
  <si>
    <t>.</t>
  </si>
  <si>
    <t>Total Personnel</t>
  </si>
  <si>
    <t>Total Library Materials</t>
  </si>
  <si>
    <t>Total Building</t>
  </si>
  <si>
    <t>Total Services</t>
  </si>
  <si>
    <t>Total office/administration</t>
  </si>
  <si>
    <t>Total Expenses</t>
  </si>
  <si>
    <t>AV (DVD, audiobooks, etc)</t>
  </si>
  <si>
    <t>Cleaning</t>
  </si>
  <si>
    <t>Total Operating Expenses</t>
  </si>
  <si>
    <t>Travel meals</t>
  </si>
  <si>
    <t>Miscellaneous dues</t>
  </si>
  <si>
    <t>Movie Licensing</t>
  </si>
  <si>
    <t>Workman's Comp.</t>
  </si>
  <si>
    <t xml:space="preserve">Rent </t>
  </si>
  <si>
    <t>Computers &amp; software</t>
  </si>
  <si>
    <t>Contingency/Miscellaneous</t>
  </si>
  <si>
    <t>Rent</t>
  </si>
  <si>
    <t>Total Grants</t>
  </si>
  <si>
    <t>Total Other</t>
  </si>
  <si>
    <t>Trust Fund Income</t>
  </si>
  <si>
    <t>Fundraiser proceeds</t>
  </si>
  <si>
    <r>
      <t xml:space="preserve">Wisconsin Retirement </t>
    </r>
    <r>
      <rPr>
        <sz val="10"/>
        <color indexed="10"/>
        <rFont val="Arial"/>
        <family val="2"/>
      </rPr>
      <t xml:space="preserve"> (est 6.85% of salary)</t>
    </r>
  </si>
  <si>
    <t>AV (DVDs, CDs)</t>
  </si>
  <si>
    <t>Building and Maintenance</t>
  </si>
  <si>
    <t>Total Collections</t>
  </si>
  <si>
    <t>Building &amp; Maintenance</t>
  </si>
  <si>
    <t>Total Building and Maintenance</t>
  </si>
  <si>
    <t>Office/Administration</t>
  </si>
  <si>
    <t>Total Office/Administration</t>
  </si>
  <si>
    <t>Total Operating Expenditures</t>
  </si>
  <si>
    <t xml:space="preserve">Computer Replacement </t>
  </si>
  <si>
    <t>Total Capital</t>
  </si>
  <si>
    <t>Trust Fund income</t>
  </si>
  <si>
    <r>
      <t xml:space="preserve">FICA </t>
    </r>
    <r>
      <rPr>
        <sz val="10"/>
        <color indexed="10"/>
        <rFont val="Arial"/>
        <family val="2"/>
      </rPr>
      <t xml:space="preserve"> (7.65% of salary)</t>
    </r>
  </si>
  <si>
    <t>Most libraries did not report "Other Income".  Number on chart is from 2011 annual reports.</t>
  </si>
  <si>
    <t>Many libraries did not report materials spending by format.  I used figures from those who did to estimate numbers for the others</t>
  </si>
  <si>
    <t>Every library reported their budget in different formats and and arranged differently.  To come up with my average budget I created a common format.</t>
  </si>
  <si>
    <t>YTD Income</t>
  </si>
  <si>
    <t>YTD Exp.</t>
  </si>
  <si>
    <t>Libraries Sheet</t>
  </si>
  <si>
    <t xml:space="preserve">To develop the sample budget I asked Winnefox libraries with less than about 2.5 FTE staff to send me copies of their 2011 budget.  Twelve responded.  </t>
  </si>
  <si>
    <t>"Materials--Electronic" is Overdrive payments to Winnefox.  No libraries had this line budgeted.  These figures were taken from Winnefox records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</si>
</sst>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#,##0.0"/>
    <numFmt numFmtId="167" formatCode="&quot;$&quot;#,##0"/>
    <numFmt numFmtId="168" formatCode="_(* #,##0.0_);_(* \(#,##0.0\);_(* &quot;-&quot;??_);_(@_)"/>
    <numFmt numFmtId="169" formatCode="_(* #,##0_);_(* \(#,##0\);_(* &quot;-&quot;??_);_(@_)"/>
    <numFmt numFmtId="170" formatCode="[$-409]dddd\,\ mmmm\ dd\,\ yyyy"/>
    <numFmt numFmtId="171" formatCode="[$-409]mmmm\-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right"/>
    </xf>
    <xf numFmtId="4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9" fontId="0" fillId="0" borderId="0" xfId="62" applyFont="1" applyAlignment="1">
      <alignment/>
    </xf>
    <xf numFmtId="9" fontId="0" fillId="0" borderId="11" xfId="62" applyFont="1" applyBorder="1" applyAlignment="1">
      <alignment/>
    </xf>
    <xf numFmtId="9" fontId="0" fillId="0" borderId="0" xfId="62" applyFont="1" applyBorder="1" applyAlignment="1">
      <alignment/>
    </xf>
    <xf numFmtId="3" fontId="1" fillId="0" borderId="0" xfId="0" applyNumberFormat="1" applyFont="1" applyAlignment="1">
      <alignment/>
    </xf>
    <xf numFmtId="9" fontId="1" fillId="0" borderId="0" xfId="62" applyFont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Continuous"/>
    </xf>
    <xf numFmtId="43" fontId="0" fillId="0" borderId="0" xfId="42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" fontId="4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1" fontId="1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43" fontId="5" fillId="0" borderId="0" xfId="42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8" fillId="0" borderId="0" xfId="59" applyNumberFormat="1" applyFont="1" applyFill="1" applyAlignment="1" quotePrefix="1">
      <alignment horizontal="center"/>
      <protection/>
    </xf>
    <xf numFmtId="0" fontId="1" fillId="0" borderId="10" xfId="0" applyFont="1" applyBorder="1" applyAlignment="1">
      <alignment horizontal="centerContinuous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Continuous" wrapText="1"/>
    </xf>
    <xf numFmtId="4" fontId="0" fillId="0" borderId="10" xfId="0" applyNumberFormat="1" applyBorder="1" applyAlignment="1">
      <alignment/>
    </xf>
    <xf numFmtId="9" fontId="0" fillId="0" borderId="10" xfId="62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58" applyFill="1">
      <alignment/>
      <protection/>
    </xf>
    <xf numFmtId="0" fontId="46" fillId="0" borderId="0" xfId="58" applyFont="1" applyFill="1">
      <alignment/>
      <protection/>
    </xf>
    <xf numFmtId="0" fontId="0" fillId="0" borderId="0" xfId="58" applyFont="1" applyFill="1">
      <alignment/>
      <protection/>
    </xf>
    <xf numFmtId="0" fontId="0" fillId="0" borderId="0" xfId="58" applyFill="1" applyAlignment="1">
      <alignment horizontal="center"/>
      <protection/>
    </xf>
    <xf numFmtId="169" fontId="0" fillId="0" borderId="0" xfId="44" applyNumberFormat="1" applyFont="1" applyFill="1" applyAlignment="1">
      <alignment/>
    </xf>
    <xf numFmtId="169" fontId="0" fillId="0" borderId="0" xfId="44" applyNumberFormat="1" applyFont="1" applyFill="1" applyAlignment="1">
      <alignment/>
    </xf>
    <xf numFmtId="169" fontId="0" fillId="0" borderId="0" xfId="44" applyNumberFormat="1" applyFont="1" applyFill="1" applyBorder="1" applyAlignment="1">
      <alignment/>
    </xf>
    <xf numFmtId="0" fontId="0" fillId="0" borderId="0" xfId="58" applyFill="1" applyBorder="1">
      <alignment/>
      <protection/>
    </xf>
    <xf numFmtId="0" fontId="0" fillId="0" borderId="10" xfId="58" applyFill="1" applyBorder="1">
      <alignment/>
      <protection/>
    </xf>
    <xf numFmtId="169" fontId="0" fillId="0" borderId="10" xfId="44" applyNumberFormat="1" applyFont="1" applyFill="1" applyBorder="1" applyAlignment="1">
      <alignment/>
    </xf>
    <xf numFmtId="169" fontId="0" fillId="0" borderId="10" xfId="44" applyNumberFormat="1" applyFont="1" applyFill="1" applyBorder="1" applyAlignment="1">
      <alignment/>
    </xf>
    <xf numFmtId="169" fontId="8" fillId="0" borderId="0" xfId="44" applyNumberFormat="1" applyFont="1" applyFill="1" applyAlignment="1">
      <alignment/>
    </xf>
    <xf numFmtId="169" fontId="8" fillId="0" borderId="0" xfId="44" applyNumberFormat="1" applyFont="1" applyFill="1" applyBorder="1" applyAlignment="1">
      <alignment/>
    </xf>
    <xf numFmtId="0" fontId="0" fillId="0" borderId="10" xfId="58" applyFont="1" applyFill="1" applyBorder="1">
      <alignment/>
      <protection/>
    </xf>
    <xf numFmtId="169" fontId="8" fillId="0" borderId="10" xfId="44" applyNumberFormat="1" applyFont="1" applyFill="1" applyBorder="1" applyAlignment="1">
      <alignment/>
    </xf>
    <xf numFmtId="3" fontId="46" fillId="0" borderId="0" xfId="58" applyNumberFormat="1" applyFont="1" applyFill="1">
      <alignment/>
      <protection/>
    </xf>
    <xf numFmtId="3" fontId="46" fillId="0" borderId="0" xfId="44" applyNumberFormat="1" applyFont="1" applyFill="1" applyAlignment="1">
      <alignment/>
    </xf>
    <xf numFmtId="3" fontId="46" fillId="0" borderId="0" xfId="63" applyNumberFormat="1" applyFont="1" applyFill="1" applyAlignment="1">
      <alignment/>
    </xf>
    <xf numFmtId="3" fontId="0" fillId="0" borderId="0" xfId="63" applyNumberFormat="1" applyFont="1" applyFill="1" applyAlignment="1">
      <alignment/>
    </xf>
    <xf numFmtId="3" fontId="0" fillId="0" borderId="0" xfId="44" applyNumberFormat="1" applyFont="1" applyFill="1" applyAlignment="1">
      <alignment/>
    </xf>
    <xf numFmtId="9" fontId="0" fillId="0" borderId="0" xfId="63" applyFont="1" applyFill="1" applyAlignment="1">
      <alignment/>
    </xf>
    <xf numFmtId="3" fontId="0" fillId="0" borderId="0" xfId="58" applyNumberFormat="1" applyFill="1">
      <alignment/>
      <protection/>
    </xf>
    <xf numFmtId="3" fontId="0" fillId="0" borderId="10" xfId="44" applyNumberFormat="1" applyFont="1" applyFill="1" applyBorder="1" applyAlignment="1">
      <alignment/>
    </xf>
    <xf numFmtId="0" fontId="0" fillId="0" borderId="0" xfId="58" applyFont="1" applyFill="1" applyBorder="1">
      <alignment/>
      <protection/>
    </xf>
    <xf numFmtId="169" fontId="46" fillId="0" borderId="0" xfId="44" applyNumberFormat="1" applyFont="1" applyFill="1" applyAlignment="1">
      <alignment/>
    </xf>
    <xf numFmtId="169" fontId="0" fillId="0" borderId="0" xfId="58" applyNumberFormat="1" applyFill="1">
      <alignment/>
      <protection/>
    </xf>
    <xf numFmtId="0" fontId="0" fillId="0" borderId="0" xfId="58">
      <alignment/>
      <protection/>
    </xf>
    <xf numFmtId="0" fontId="1" fillId="0" borderId="11" xfId="0" applyFont="1" applyBorder="1" applyAlignment="1">
      <alignment horizontal="right"/>
    </xf>
    <xf numFmtId="9" fontId="1" fillId="0" borderId="11" xfId="62" applyFont="1" applyBorder="1" applyAlignment="1">
      <alignment/>
    </xf>
    <xf numFmtId="0" fontId="0" fillId="0" borderId="0" xfId="0" applyBorder="1" applyAlignment="1">
      <alignment/>
    </xf>
    <xf numFmtId="0" fontId="46" fillId="0" borderId="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Continuous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43" fontId="11" fillId="0" borderId="0" xfId="42" applyFont="1" applyAlignment="1">
      <alignment/>
    </xf>
    <xf numFmtId="9" fontId="11" fillId="0" borderId="0" xfId="62" applyFont="1" applyAlignment="1">
      <alignment/>
    </xf>
    <xf numFmtId="0" fontId="11" fillId="0" borderId="0" xfId="0" applyFont="1" applyAlignment="1">
      <alignment/>
    </xf>
    <xf numFmtId="0" fontId="10" fillId="0" borderId="11" xfId="0" applyFont="1" applyBorder="1" applyAlignment="1">
      <alignment wrapText="1"/>
    </xf>
    <xf numFmtId="43" fontId="11" fillId="0" borderId="11" xfId="42" applyFont="1" applyBorder="1" applyAlignment="1">
      <alignment/>
    </xf>
    <xf numFmtId="9" fontId="11" fillId="0" borderId="11" xfId="62" applyFont="1" applyBorder="1" applyAlignment="1">
      <alignment/>
    </xf>
    <xf numFmtId="9" fontId="11" fillId="0" borderId="10" xfId="62" applyFont="1" applyBorder="1" applyAlignment="1">
      <alignment horizontal="centerContinuous" wrapText="1"/>
    </xf>
    <xf numFmtId="43" fontId="11" fillId="0" borderId="0" xfId="42" applyFont="1" applyAlignment="1">
      <alignment wrapText="1"/>
    </xf>
    <xf numFmtId="0" fontId="0" fillId="0" borderId="0" xfId="58" applyFill="1" applyAlignment="1">
      <alignment wrapText="1"/>
      <protection/>
    </xf>
    <xf numFmtId="0" fontId="0" fillId="0" borderId="0" xfId="58" applyFont="1" applyFill="1" applyAlignment="1">
      <alignment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2002 public library data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2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5.57421875" style="0" customWidth="1"/>
    <col min="2" max="2" width="115.140625" style="46" customWidth="1"/>
  </cols>
  <sheetData>
    <row r="5" ht="12.75">
      <c r="A5" s="47" t="s">
        <v>63</v>
      </c>
    </row>
    <row r="6" ht="12.75">
      <c r="B6" s="45" t="s">
        <v>64</v>
      </c>
    </row>
    <row r="7" ht="25.5">
      <c r="B7" s="45" t="s">
        <v>66</v>
      </c>
    </row>
    <row r="11" ht="12.75">
      <c r="A11" s="47" t="s">
        <v>62</v>
      </c>
    </row>
    <row r="12" ht="12.75">
      <c r="B12" s="45" t="s">
        <v>65</v>
      </c>
    </row>
    <row r="13" ht="12.75">
      <c r="B13" s="45" t="s">
        <v>61</v>
      </c>
    </row>
    <row r="17" ht="12.75">
      <c r="A17" s="47" t="s">
        <v>157</v>
      </c>
    </row>
    <row r="18" spans="1:2" ht="25.5">
      <c r="A18" s="47"/>
      <c r="B18" s="45" t="s">
        <v>158</v>
      </c>
    </row>
    <row r="19" ht="25.5">
      <c r="B19" s="104" t="s">
        <v>154</v>
      </c>
    </row>
    <row r="20" ht="25.5">
      <c r="B20" s="105" t="s">
        <v>159</v>
      </c>
    </row>
    <row r="21" ht="12.75">
      <c r="B21" s="105" t="s">
        <v>152</v>
      </c>
    </row>
    <row r="22" ht="12.75">
      <c r="B22" s="104" t="s">
        <v>153</v>
      </c>
    </row>
    <row r="41" ht="12.75">
      <c r="B41" s="45"/>
    </row>
    <row r="42" ht="12.75">
      <c r="B42" s="45"/>
    </row>
    <row r="43" ht="12.75">
      <c r="B43" s="45"/>
    </row>
    <row r="44" ht="12.75">
      <c r="B44" s="45"/>
    </row>
    <row r="45" ht="12.75">
      <c r="B45" s="45"/>
    </row>
    <row r="46" ht="12.75">
      <c r="B46" s="45"/>
    </row>
    <row r="47" ht="12.75">
      <c r="B47" s="45"/>
    </row>
    <row r="48" ht="12.75">
      <c r="B48" s="45"/>
    </row>
    <row r="49" ht="12.75">
      <c r="B49" s="45"/>
    </row>
    <row r="50" ht="12.75">
      <c r="B50" s="45"/>
    </row>
    <row r="51" ht="12.75">
      <c r="B51" s="45"/>
    </row>
    <row r="52" ht="12.75">
      <c r="B52" s="4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D31" sqref="D31"/>
    </sheetView>
  </sheetViews>
  <sheetFormatPr defaultColWidth="9.140625" defaultRowHeight="12.75"/>
  <cols>
    <col min="1" max="1" width="10.28125" style="0" bestFit="1" customWidth="1"/>
    <col min="2" max="2" width="25.421875" style="0" customWidth="1"/>
    <col min="3" max="3" width="10.57421875" style="0" customWidth="1"/>
    <col min="4" max="4" width="11.28125" style="0" customWidth="1"/>
    <col min="5" max="5" width="11.00390625" style="0" customWidth="1"/>
    <col min="6" max="6" width="10.28125" style="0" bestFit="1" customWidth="1"/>
    <col min="7" max="7" width="9.421875" style="0" customWidth="1"/>
  </cols>
  <sheetData>
    <row r="1" spans="1:7" ht="15.75">
      <c r="A1" s="34" t="s">
        <v>36</v>
      </c>
      <c r="B1" s="35"/>
      <c r="C1" s="35"/>
      <c r="D1" s="35"/>
      <c r="E1" s="35"/>
      <c r="F1" s="35"/>
      <c r="G1" s="35"/>
    </row>
    <row r="2" spans="1:7" ht="15.75">
      <c r="A2" s="34" t="s">
        <v>97</v>
      </c>
      <c r="B2" s="35"/>
      <c r="C2" s="35"/>
      <c r="D2" s="35"/>
      <c r="E2" s="35"/>
      <c r="F2" s="35"/>
      <c r="G2" s="35"/>
    </row>
    <row r="3" spans="1:7" ht="15.75">
      <c r="A3" s="34" t="s">
        <v>15</v>
      </c>
      <c r="B3" s="35"/>
      <c r="C3" s="35"/>
      <c r="D3" s="35"/>
      <c r="E3" s="35"/>
      <c r="F3" s="35"/>
      <c r="G3" s="35"/>
    </row>
    <row r="5" spans="2:7" ht="12.75">
      <c r="B5" s="16"/>
      <c r="C5" s="16"/>
      <c r="D5" s="16"/>
      <c r="E5" s="16"/>
      <c r="F5" s="16"/>
      <c r="G5" s="16"/>
    </row>
    <row r="6" spans="1:7" ht="25.5">
      <c r="A6" s="13"/>
      <c r="B6" s="17"/>
      <c r="C6" s="38" t="s">
        <v>98</v>
      </c>
      <c r="D6" s="38" t="s">
        <v>99</v>
      </c>
      <c r="E6" s="38" t="s">
        <v>100</v>
      </c>
      <c r="F6" s="29" t="s">
        <v>14</v>
      </c>
      <c r="G6" s="29"/>
    </row>
    <row r="7" spans="1:7" ht="12.75">
      <c r="A7" s="32" t="s">
        <v>31</v>
      </c>
      <c r="B7" s="18"/>
      <c r="C7" s="19"/>
      <c r="D7" s="19"/>
      <c r="E7" s="19"/>
      <c r="F7" s="20"/>
      <c r="G7" s="20"/>
    </row>
    <row r="8" spans="2:7" ht="12.75">
      <c r="B8" s="31" t="s">
        <v>29</v>
      </c>
      <c r="C8" s="6">
        <v>36200</v>
      </c>
      <c r="D8" s="6">
        <v>36300</v>
      </c>
      <c r="E8" s="6">
        <v>36000</v>
      </c>
      <c r="F8" s="6">
        <f aca="true" t="shared" si="0" ref="F8:F13">+E8-D8</f>
        <v>-300</v>
      </c>
      <c r="G8" s="22">
        <f aca="true" t="shared" si="1" ref="G8:G13">+F8/C8</f>
        <v>-0.008287292817679558</v>
      </c>
    </row>
    <row r="9" spans="2:7" ht="12.75">
      <c r="B9" s="31" t="s">
        <v>30</v>
      </c>
      <c r="C9" s="6">
        <v>26672</v>
      </c>
      <c r="D9" s="6">
        <v>26380</v>
      </c>
      <c r="E9" s="6">
        <v>26450</v>
      </c>
      <c r="F9" s="6">
        <f t="shared" si="0"/>
        <v>70</v>
      </c>
      <c r="G9" s="22">
        <f t="shared" si="1"/>
        <v>0.002624475104979004</v>
      </c>
    </row>
    <row r="10" spans="2:7" ht="12.75">
      <c r="B10" s="31" t="s">
        <v>43</v>
      </c>
      <c r="C10" s="6">
        <v>4057</v>
      </c>
      <c r="D10" s="6">
        <v>4096</v>
      </c>
      <c r="E10" s="6">
        <v>4110</v>
      </c>
      <c r="F10" s="6">
        <f t="shared" si="0"/>
        <v>14</v>
      </c>
      <c r="G10" s="22">
        <f t="shared" si="1"/>
        <v>0.0034508257333004683</v>
      </c>
    </row>
    <row r="11" spans="2:7" ht="12.75">
      <c r="B11" s="31" t="s">
        <v>44</v>
      </c>
      <c r="C11" s="6">
        <v>0</v>
      </c>
      <c r="D11" s="6">
        <v>0</v>
      </c>
      <c r="E11" s="6">
        <v>0</v>
      </c>
      <c r="F11" s="6">
        <f t="shared" si="0"/>
        <v>0</v>
      </c>
      <c r="G11" s="22" t="e">
        <f>+F11/C11</f>
        <v>#DIV/0!</v>
      </c>
    </row>
    <row r="12" spans="2:7" ht="12.75">
      <c r="B12" s="31" t="s">
        <v>33</v>
      </c>
      <c r="C12" s="6">
        <v>4350</v>
      </c>
      <c r="D12" s="6">
        <v>4550</v>
      </c>
      <c r="E12" s="6">
        <v>4500</v>
      </c>
      <c r="F12" s="6">
        <f t="shared" si="0"/>
        <v>-50</v>
      </c>
      <c r="G12" s="22">
        <f t="shared" si="1"/>
        <v>-0.011494252873563218</v>
      </c>
    </row>
    <row r="13" spans="1:7" ht="13.5" thickBot="1">
      <c r="A13" s="10"/>
      <c r="B13" s="33" t="s">
        <v>32</v>
      </c>
      <c r="C13" s="9">
        <f>SUM(C8:C12)</f>
        <v>71279</v>
      </c>
      <c r="D13" s="9">
        <f>SUM(D8:D12)</f>
        <v>71326</v>
      </c>
      <c r="E13" s="9">
        <f>SUM(E8:E12)</f>
        <v>71060</v>
      </c>
      <c r="F13" s="9">
        <f t="shared" si="0"/>
        <v>-266</v>
      </c>
      <c r="G13" s="23">
        <f t="shared" si="1"/>
        <v>-0.0037318144193942116</v>
      </c>
    </row>
    <row r="14" spans="1:7" ht="13.5" thickTop="1">
      <c r="A14" s="14"/>
      <c r="B14" s="18"/>
      <c r="C14" s="27"/>
      <c r="D14" s="27"/>
      <c r="E14" s="27"/>
      <c r="F14" s="27"/>
      <c r="G14" s="24"/>
    </row>
    <row r="15" spans="1:7" ht="12.75">
      <c r="A15" t="s">
        <v>23</v>
      </c>
      <c r="B15" s="16"/>
      <c r="C15" s="6"/>
      <c r="D15" s="6"/>
      <c r="E15" s="6"/>
      <c r="F15" s="6"/>
      <c r="G15" s="22"/>
    </row>
    <row r="16" spans="2:7" ht="12.75">
      <c r="B16" s="16" t="s">
        <v>18</v>
      </c>
      <c r="C16" s="6">
        <v>712.5</v>
      </c>
      <c r="D16" s="6">
        <v>800</v>
      </c>
      <c r="E16" s="6">
        <v>800</v>
      </c>
      <c r="F16" s="6">
        <f>+E16-D16</f>
        <v>0</v>
      </c>
      <c r="G16" s="22">
        <f>+F16/C16</f>
        <v>0</v>
      </c>
    </row>
    <row r="17" spans="2:7" ht="12.75">
      <c r="B17" s="16" t="s">
        <v>16</v>
      </c>
      <c r="C17" s="6">
        <v>875.8</v>
      </c>
      <c r="D17" s="6">
        <v>900</v>
      </c>
      <c r="E17" s="6">
        <v>900</v>
      </c>
      <c r="F17" s="6">
        <f>+E17-D17</f>
        <v>0</v>
      </c>
      <c r="G17" s="22">
        <f>+F17/C17</f>
        <v>0</v>
      </c>
    </row>
    <row r="18" spans="1:7" ht="13.5" thickBot="1">
      <c r="A18" s="10"/>
      <c r="B18" s="21" t="s">
        <v>21</v>
      </c>
      <c r="C18" s="9">
        <f>SUM(C16:C17)</f>
        <v>1588.3</v>
      </c>
      <c r="D18" s="9">
        <f>SUM(D16:D17)</f>
        <v>1700</v>
      </c>
      <c r="E18" s="9">
        <f>SUM(E16:E17)</f>
        <v>1700</v>
      </c>
      <c r="F18" s="9">
        <f>+E18-D18</f>
        <v>0</v>
      </c>
      <c r="G18" s="23">
        <f>+F18/C18</f>
        <v>0</v>
      </c>
    </row>
    <row r="19" spans="1:7" ht="13.5" thickTop="1">
      <c r="A19" s="14"/>
      <c r="B19" s="18"/>
      <c r="C19" s="27"/>
      <c r="D19" s="27"/>
      <c r="E19" s="27"/>
      <c r="F19" s="27"/>
      <c r="G19" s="24"/>
    </row>
    <row r="20" spans="1:7" ht="12.75">
      <c r="A20" t="s">
        <v>17</v>
      </c>
      <c r="B20" s="16"/>
      <c r="C20" s="6"/>
      <c r="D20" s="6"/>
      <c r="E20" s="6"/>
      <c r="F20" s="6"/>
      <c r="G20" s="22"/>
    </row>
    <row r="21" spans="2:7" ht="12.75">
      <c r="B21" s="58" t="s">
        <v>137</v>
      </c>
      <c r="C21" s="6">
        <v>5853.48</v>
      </c>
      <c r="D21" s="6">
        <v>5800</v>
      </c>
      <c r="E21" s="6">
        <v>6000</v>
      </c>
      <c r="F21" s="6">
        <f>+E21-D21</f>
        <v>200</v>
      </c>
      <c r="G21" s="22">
        <f>+F21/C21</f>
        <v>0.03416770878178452</v>
      </c>
    </row>
    <row r="22" spans="2:7" ht="12.75">
      <c r="B22" s="31" t="s">
        <v>34</v>
      </c>
      <c r="C22" s="6">
        <v>925</v>
      </c>
      <c r="D22" s="6">
        <v>900</v>
      </c>
      <c r="E22" s="6">
        <v>1000</v>
      </c>
      <c r="F22" s="6">
        <f>+E22-D22</f>
        <v>100</v>
      </c>
      <c r="G22" s="22">
        <f>+F22/C22</f>
        <v>0.10810810810810811</v>
      </c>
    </row>
    <row r="23" spans="1:7" ht="13.5" thickBot="1">
      <c r="A23" s="10"/>
      <c r="B23" s="21" t="s">
        <v>22</v>
      </c>
      <c r="C23" s="9">
        <f>SUM(C21:C22)</f>
        <v>6778.48</v>
      </c>
      <c r="D23" s="9">
        <f>SUM(D21:D22)</f>
        <v>6700</v>
      </c>
      <c r="E23" s="9">
        <f>SUM(E21:E22)</f>
        <v>7000</v>
      </c>
      <c r="F23" s="9">
        <f>+E23-D23</f>
        <v>300</v>
      </c>
      <c r="G23" s="23">
        <f>+F23/C23</f>
        <v>0.04425770969302853</v>
      </c>
    </row>
    <row r="24" spans="1:7" ht="13.5" thickTop="1">
      <c r="A24" s="14"/>
      <c r="B24" s="18"/>
      <c r="C24" s="27"/>
      <c r="D24" s="27"/>
      <c r="E24" s="27"/>
      <c r="F24" s="27"/>
      <c r="G24" s="24"/>
    </row>
    <row r="25" spans="1:7" ht="12.75">
      <c r="A25" s="14" t="s">
        <v>26</v>
      </c>
      <c r="B25" s="18"/>
      <c r="C25" s="27"/>
      <c r="D25" s="27"/>
      <c r="E25" s="27"/>
      <c r="F25" s="27"/>
      <c r="G25" s="24"/>
    </row>
    <row r="26" spans="1:7" ht="12.75">
      <c r="A26" s="14"/>
      <c r="B26" s="18" t="s">
        <v>27</v>
      </c>
      <c r="C26" s="27">
        <v>0</v>
      </c>
      <c r="D26" s="27">
        <v>600</v>
      </c>
      <c r="E26" s="27">
        <v>0</v>
      </c>
      <c r="F26" s="27">
        <f>+E26-D26</f>
        <v>-600</v>
      </c>
      <c r="G26" s="24" t="e">
        <f>F26/C26</f>
        <v>#DIV/0!</v>
      </c>
    </row>
    <row r="27" spans="1:7" ht="12.75">
      <c r="A27" s="14"/>
      <c r="B27" s="18" t="s">
        <v>28</v>
      </c>
      <c r="C27" s="27">
        <v>500</v>
      </c>
      <c r="D27" s="27">
        <v>500</v>
      </c>
      <c r="E27" s="27">
        <v>500</v>
      </c>
      <c r="F27" s="27">
        <f>+E27-D27</f>
        <v>0</v>
      </c>
      <c r="G27" s="24">
        <f>F27/C27</f>
        <v>0</v>
      </c>
    </row>
    <row r="28" spans="1:7" ht="13.5" thickBot="1">
      <c r="A28" s="10"/>
      <c r="B28" s="57" t="s">
        <v>135</v>
      </c>
      <c r="C28" s="9">
        <f>SUM(C26:C27)</f>
        <v>500</v>
      </c>
      <c r="D28" s="9">
        <f>SUM(D26:D27)</f>
        <v>1100</v>
      </c>
      <c r="E28" s="9">
        <f>SUM(E26:E27)</f>
        <v>500</v>
      </c>
      <c r="F28" s="9">
        <f>E28-D28</f>
        <v>-600</v>
      </c>
      <c r="G28" s="23">
        <f>F28/C28</f>
        <v>-1.2</v>
      </c>
    </row>
    <row r="29" spans="1:7" ht="13.5" thickTop="1">
      <c r="A29" s="14"/>
      <c r="B29" s="18"/>
      <c r="C29" s="27"/>
      <c r="D29" s="27"/>
      <c r="E29" s="27"/>
      <c r="F29" s="27"/>
      <c r="G29" s="24"/>
    </row>
    <row r="30" spans="1:7" ht="12.75">
      <c r="A30" s="55" t="s">
        <v>6</v>
      </c>
      <c r="B30" s="18"/>
      <c r="C30" s="27"/>
      <c r="D30" s="27"/>
      <c r="E30" s="27"/>
      <c r="F30" s="27"/>
      <c r="G30" s="24"/>
    </row>
    <row r="31" spans="1:7" ht="12.75">
      <c r="A31" s="14"/>
      <c r="B31" s="56" t="s">
        <v>134</v>
      </c>
      <c r="C31" s="27">
        <v>390</v>
      </c>
      <c r="D31" s="27">
        <v>400</v>
      </c>
      <c r="E31" s="27">
        <v>425</v>
      </c>
      <c r="F31" s="27">
        <f>+E31-D31</f>
        <v>25</v>
      </c>
      <c r="G31" s="24">
        <f>F31/C31</f>
        <v>0.0641025641025641</v>
      </c>
    </row>
    <row r="32" spans="1:10" ht="12.75">
      <c r="A32" s="14"/>
      <c r="B32" s="56" t="s">
        <v>138</v>
      </c>
      <c r="C32" s="27">
        <v>1552.45</v>
      </c>
      <c r="D32" s="27">
        <v>1600</v>
      </c>
      <c r="E32" s="27">
        <v>1600</v>
      </c>
      <c r="F32" s="27">
        <f>+E32-D32</f>
        <v>0</v>
      </c>
      <c r="G32" s="24">
        <f>F32/C32</f>
        <v>0</v>
      </c>
      <c r="J32" s="14"/>
    </row>
    <row r="33" spans="1:10" ht="13.5" thickBot="1">
      <c r="A33" s="10"/>
      <c r="B33" s="57" t="s">
        <v>136</v>
      </c>
      <c r="C33" s="9">
        <f>SUM(C31:C32)</f>
        <v>1942.45</v>
      </c>
      <c r="D33" s="9">
        <f>SUM(D31:D32)</f>
        <v>2000</v>
      </c>
      <c r="E33" s="9">
        <f>SUM(E31:E32)</f>
        <v>2025</v>
      </c>
      <c r="F33" s="9">
        <f>E33-D33</f>
        <v>25</v>
      </c>
      <c r="G33" s="23">
        <f>F33/C33</f>
        <v>0.012870344153002651</v>
      </c>
      <c r="J33" s="15"/>
    </row>
    <row r="34" spans="1:10" ht="13.5" thickTop="1">
      <c r="A34" s="14"/>
      <c r="B34" s="18"/>
      <c r="C34" s="27"/>
      <c r="D34" s="27"/>
      <c r="E34" s="27"/>
      <c r="F34" s="27"/>
      <c r="G34" s="24"/>
      <c r="J34" s="15"/>
    </row>
    <row r="35" spans="1:7" ht="12.75">
      <c r="A35" s="14"/>
      <c r="B35" s="18"/>
      <c r="C35" s="27"/>
      <c r="D35" s="27"/>
      <c r="E35" s="27"/>
      <c r="F35" s="27"/>
      <c r="G35" s="24"/>
    </row>
    <row r="36" spans="1:10" s="14" customFormat="1" ht="12.75">
      <c r="A36" s="89"/>
      <c r="B36" s="89" t="s">
        <v>24</v>
      </c>
      <c r="C36" s="27">
        <v>125.74</v>
      </c>
      <c r="D36" s="27">
        <v>200</v>
      </c>
      <c r="E36" s="27">
        <v>200</v>
      </c>
      <c r="F36" s="27">
        <f>+E36-D36</f>
        <v>0</v>
      </c>
      <c r="G36" s="24">
        <f>+F36/C36</f>
        <v>0</v>
      </c>
      <c r="J36" s="90"/>
    </row>
    <row r="37" spans="2:7" ht="12.75">
      <c r="B37" s="16"/>
      <c r="C37" s="6"/>
      <c r="D37" s="6"/>
      <c r="E37" s="6"/>
      <c r="F37" s="6"/>
      <c r="G37" s="22"/>
    </row>
    <row r="38" spans="2:10" s="15" customFormat="1" ht="12.75">
      <c r="B38" s="20" t="s">
        <v>25</v>
      </c>
      <c r="C38" s="28">
        <f>+C13+C18+C23+C36+C28+C33</f>
        <v>82213.97</v>
      </c>
      <c r="D38" s="28">
        <f>+D13+D18+D23+D36+D28+D33</f>
        <v>83026</v>
      </c>
      <c r="E38" s="28">
        <f>+E13+E18+E23+E36+E28+E33</f>
        <v>82485</v>
      </c>
      <c r="F38" s="12">
        <f>+E38-D38</f>
        <v>-541</v>
      </c>
      <c r="G38" s="26">
        <f>+F38/C38</f>
        <v>-0.00658039016969987</v>
      </c>
      <c r="J38"/>
    </row>
    <row r="39" spans="2:10" s="15" customFormat="1" ht="12.75">
      <c r="B39" s="20"/>
      <c r="C39" s="28"/>
      <c r="D39" s="28"/>
      <c r="E39" s="28"/>
      <c r="F39" s="12"/>
      <c r="G39" s="22"/>
      <c r="J39"/>
    </row>
    <row r="40" spans="2:7" ht="12.75">
      <c r="B40" s="25"/>
      <c r="C40" s="12"/>
      <c r="D40" s="12"/>
      <c r="E40" s="12"/>
      <c r="F40" s="12"/>
      <c r="G40" s="26"/>
    </row>
  </sheetData>
  <sheetProtection/>
  <printOptions/>
  <pageMargins left="0.75" right="0.75" top="1" bottom="1" header="0.5" footer="0.5"/>
  <pageSetup horizontalDpi="600" verticalDpi="600" orientation="portrait" r:id="rId1"/>
  <headerFooter differentOddEven="1" alignWithMargins="0">
    <oddFooter>&amp;C&amp;D&amp;P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workbookViewId="0" topLeftCell="A1">
      <selection activeCell="H13" sqref="H13"/>
    </sheetView>
  </sheetViews>
  <sheetFormatPr defaultColWidth="9.140625" defaultRowHeight="12.75"/>
  <cols>
    <col min="1" max="1" width="15.8515625" style="0" customWidth="1"/>
    <col min="2" max="2" width="22.00390625" style="4" customWidth="1"/>
    <col min="3" max="3" width="12.140625" style="6" customWidth="1"/>
    <col min="4" max="4" width="11.140625" style="6" customWidth="1"/>
    <col min="5" max="5" width="11.7109375" style="6" customWidth="1"/>
    <col min="6" max="6" width="10.28125" style="0" bestFit="1" customWidth="1"/>
    <col min="7" max="7" width="7.140625" style="0" customWidth="1"/>
    <col min="9" max="9" width="21.140625" style="0" customWidth="1"/>
  </cols>
  <sheetData>
    <row r="1" spans="1:7" ht="15.75">
      <c r="A1" s="34" t="str">
        <f>'Revenue Detail'!A1</f>
        <v>XYZ Public Library</v>
      </c>
      <c r="B1" s="34"/>
      <c r="C1" s="36"/>
      <c r="D1" s="36"/>
      <c r="E1" s="36"/>
      <c r="F1" s="34"/>
      <c r="G1" s="34"/>
    </row>
    <row r="2" spans="1:7" ht="15.75">
      <c r="A2" s="34" t="str">
        <f>'Revenue Detail'!A2</f>
        <v>2013 Budget</v>
      </c>
      <c r="B2" s="34"/>
      <c r="C2" s="36"/>
      <c r="D2" s="36"/>
      <c r="E2" s="36"/>
      <c r="F2" s="34"/>
      <c r="G2" s="34"/>
    </row>
    <row r="3" spans="1:7" ht="15.75">
      <c r="A3" s="34" t="s">
        <v>0</v>
      </c>
      <c r="B3" s="34"/>
      <c r="C3" s="36"/>
      <c r="D3" s="36"/>
      <c r="E3" s="36"/>
      <c r="F3" s="34"/>
      <c r="G3" s="34"/>
    </row>
    <row r="5" spans="1:6" ht="12.75">
      <c r="A5" s="1"/>
      <c r="F5" s="1"/>
    </row>
    <row r="6" spans="1:7" s="2" customFormat="1" ht="25.5">
      <c r="A6" s="3"/>
      <c r="B6" s="5"/>
      <c r="C6" s="38" t="str">
        <f>'Revenue Detail'!C6</f>
        <v>2011 Actual</v>
      </c>
      <c r="D6" s="38" t="str">
        <f>'Revenue Detail'!D6</f>
        <v>2012 Budget</v>
      </c>
      <c r="E6" s="38" t="str">
        <f>'Revenue Detail'!E6</f>
        <v>2013 Proposed </v>
      </c>
      <c r="F6" s="29" t="str">
        <f>'Revenue Detail'!F6</f>
        <v>Difference</v>
      </c>
      <c r="G6" s="49"/>
    </row>
    <row r="7" ht="12.75">
      <c r="A7" s="1" t="s">
        <v>1</v>
      </c>
    </row>
    <row r="8" spans="2:7" ht="12.75">
      <c r="B8" s="4" t="s">
        <v>2</v>
      </c>
      <c r="C8" s="6">
        <v>36239.4</v>
      </c>
      <c r="D8" s="6">
        <v>36040</v>
      </c>
      <c r="E8" s="6">
        <v>35940</v>
      </c>
      <c r="F8" s="6">
        <f aca="true" t="shared" si="0" ref="F8:F13">+E8-D8</f>
        <v>-100</v>
      </c>
      <c r="G8" s="22">
        <f aca="true" t="shared" si="1" ref="G8:G13">F8/C8</f>
        <v>-0.002759427584341904</v>
      </c>
    </row>
    <row r="9" spans="2:7" ht="12.75">
      <c r="B9" s="39" t="s">
        <v>151</v>
      </c>
      <c r="C9" s="6">
        <f>C8*0.0765</f>
        <v>2772.3141</v>
      </c>
      <c r="D9" s="6">
        <v>2760</v>
      </c>
      <c r="E9" s="6">
        <v>2750</v>
      </c>
      <c r="F9" s="6">
        <f t="shared" si="0"/>
        <v>-10</v>
      </c>
      <c r="G9" s="22">
        <f t="shared" si="1"/>
        <v>-0.003607094881492685</v>
      </c>
    </row>
    <row r="10" spans="2:10" ht="25.5">
      <c r="B10" s="59" t="s">
        <v>139</v>
      </c>
      <c r="C10" s="6">
        <f>C8*0.118</f>
        <v>4276.2492</v>
      </c>
      <c r="D10" s="6">
        <v>4550</v>
      </c>
      <c r="E10" s="6">
        <v>2460</v>
      </c>
      <c r="F10" s="6">
        <f t="shared" si="0"/>
        <v>-2090</v>
      </c>
      <c r="G10" s="22">
        <f t="shared" si="1"/>
        <v>-0.4887460721419135</v>
      </c>
      <c r="J10" s="6"/>
    </row>
    <row r="11" spans="2:10" ht="12.75">
      <c r="B11" s="39" t="s">
        <v>9</v>
      </c>
      <c r="C11" s="6">
        <v>2624.73</v>
      </c>
      <c r="D11" s="6">
        <v>2710</v>
      </c>
      <c r="E11" s="6">
        <v>2800</v>
      </c>
      <c r="F11" s="6">
        <f t="shared" si="0"/>
        <v>90</v>
      </c>
      <c r="G11" s="22">
        <f t="shared" si="1"/>
        <v>0.034289241179092704</v>
      </c>
      <c r="J11" s="6"/>
    </row>
    <row r="12" spans="2:7" ht="12.75">
      <c r="B12" s="4" t="s">
        <v>13</v>
      </c>
      <c r="C12" s="6">
        <v>147.2</v>
      </c>
      <c r="D12" s="6">
        <v>130</v>
      </c>
      <c r="E12" s="6">
        <v>100</v>
      </c>
      <c r="F12" s="6">
        <f t="shared" si="0"/>
        <v>-30</v>
      </c>
      <c r="G12" s="22">
        <f t="shared" si="1"/>
        <v>-0.20380434782608697</v>
      </c>
    </row>
    <row r="13" spans="1:7" ht="13.5" thickBot="1">
      <c r="A13" s="40"/>
      <c r="B13" s="87" t="s">
        <v>118</v>
      </c>
      <c r="C13" s="41">
        <f>SUM(C8:C12)</f>
        <v>46059.8933</v>
      </c>
      <c r="D13" s="41">
        <f>SUM(D8:D12)</f>
        <v>46190</v>
      </c>
      <c r="E13" s="41">
        <f>SUM(E8:E12)</f>
        <v>44050</v>
      </c>
      <c r="F13" s="41">
        <f t="shared" si="0"/>
        <v>-2140</v>
      </c>
      <c r="G13" s="88">
        <f t="shared" si="1"/>
        <v>-0.04646124527605017</v>
      </c>
    </row>
    <row r="14" spans="6:10" ht="13.5" thickTop="1">
      <c r="F14" s="6"/>
      <c r="G14" s="22"/>
      <c r="J14" s="6"/>
    </row>
    <row r="15" spans="6:7" ht="12.75">
      <c r="F15" s="6"/>
      <c r="G15" s="22"/>
    </row>
    <row r="16" spans="1:7" ht="12.75">
      <c r="A16" s="1" t="s">
        <v>4</v>
      </c>
      <c r="B16" s="4" t="s">
        <v>5</v>
      </c>
      <c r="C16" s="6">
        <v>6925.24</v>
      </c>
      <c r="D16" s="30">
        <v>6800</v>
      </c>
      <c r="E16" s="6">
        <v>6600</v>
      </c>
      <c r="F16" s="6">
        <f aca="true" t="shared" si="2" ref="F16:F21">+E16-D16</f>
        <v>-200</v>
      </c>
      <c r="G16" s="22">
        <f aca="true" t="shared" si="3" ref="G16:G21">F16/C16</f>
        <v>-0.028879865535346067</v>
      </c>
    </row>
    <row r="17" spans="2:7" ht="12.75">
      <c r="B17" s="39" t="s">
        <v>79</v>
      </c>
      <c r="C17" s="6">
        <v>320</v>
      </c>
      <c r="D17" s="30">
        <v>325</v>
      </c>
      <c r="E17" s="6">
        <v>350</v>
      </c>
      <c r="F17" s="6">
        <f t="shared" si="2"/>
        <v>25</v>
      </c>
      <c r="G17" s="22">
        <f t="shared" si="3"/>
        <v>0.078125</v>
      </c>
    </row>
    <row r="18" spans="2:7" ht="12.75">
      <c r="B18" s="39" t="s">
        <v>140</v>
      </c>
      <c r="C18" s="6">
        <v>2347.56</v>
      </c>
      <c r="D18" s="30">
        <v>2300</v>
      </c>
      <c r="E18" s="6">
        <v>3150</v>
      </c>
      <c r="F18" s="6">
        <f t="shared" si="2"/>
        <v>850</v>
      </c>
      <c r="G18" s="22">
        <f t="shared" si="3"/>
        <v>0.36207807255192626</v>
      </c>
    </row>
    <row r="19" spans="2:7" ht="12.75">
      <c r="B19" t="s">
        <v>103</v>
      </c>
      <c r="C19" s="6">
        <v>1125</v>
      </c>
      <c r="D19" s="30">
        <v>1100</v>
      </c>
      <c r="E19" s="6">
        <v>900</v>
      </c>
      <c r="F19" s="6">
        <f t="shared" si="2"/>
        <v>-200</v>
      </c>
      <c r="G19" s="22">
        <f t="shared" si="3"/>
        <v>-0.17777777777777778</v>
      </c>
    </row>
    <row r="20" spans="2:7" ht="12.75">
      <c r="B20" s="39" t="s">
        <v>6</v>
      </c>
      <c r="C20" s="6">
        <v>286.45</v>
      </c>
      <c r="D20" s="30">
        <v>250</v>
      </c>
      <c r="E20" s="6">
        <v>200</v>
      </c>
      <c r="F20" s="6">
        <f t="shared" si="2"/>
        <v>-50</v>
      </c>
      <c r="G20" s="22">
        <f t="shared" si="3"/>
        <v>-0.17455053237912377</v>
      </c>
    </row>
    <row r="21" spans="1:7" s="1" customFormat="1" ht="13.5" thickBot="1">
      <c r="A21" s="40"/>
      <c r="B21" s="87" t="s">
        <v>142</v>
      </c>
      <c r="C21" s="41">
        <f>SUM(C16:C20)</f>
        <v>11004.25</v>
      </c>
      <c r="D21" s="41">
        <f>SUM(D16:D20)</f>
        <v>10775</v>
      </c>
      <c r="E21" s="41">
        <f>SUM(E16:E20)</f>
        <v>11200</v>
      </c>
      <c r="F21" s="41">
        <f t="shared" si="2"/>
        <v>425</v>
      </c>
      <c r="G21" s="88">
        <f t="shared" si="3"/>
        <v>0.038621441715700755</v>
      </c>
    </row>
    <row r="22" spans="6:7" ht="13.5" thickTop="1">
      <c r="F22" s="6"/>
      <c r="G22" s="22"/>
    </row>
    <row r="23" spans="1:7" ht="12.75">
      <c r="A23" s="1" t="s">
        <v>141</v>
      </c>
      <c r="F23" s="6"/>
      <c r="G23" s="22"/>
    </row>
    <row r="24" spans="2:7" ht="12.75">
      <c r="B24" t="s">
        <v>104</v>
      </c>
      <c r="C24" s="6">
        <v>1353.75</v>
      </c>
      <c r="D24" s="6">
        <v>1400</v>
      </c>
      <c r="E24" s="6">
        <v>1280</v>
      </c>
      <c r="F24" s="6">
        <f>+E24-D24</f>
        <v>-120</v>
      </c>
      <c r="G24" s="22">
        <f>F24/C24</f>
        <v>-0.0886426592797784</v>
      </c>
    </row>
    <row r="25" spans="2:7" ht="12.75">
      <c r="B25" t="s">
        <v>125</v>
      </c>
      <c r="C25" s="6">
        <v>1925.36</v>
      </c>
      <c r="D25" s="6">
        <v>1920</v>
      </c>
      <c r="E25" s="6">
        <v>2000</v>
      </c>
      <c r="F25" s="6">
        <f>+E25-D25</f>
        <v>80</v>
      </c>
      <c r="G25" s="22">
        <f>F25/C25</f>
        <v>0.04155067104333735</v>
      </c>
    </row>
    <row r="26" spans="2:7" ht="12.75">
      <c r="B26" t="s">
        <v>7</v>
      </c>
      <c r="C26" s="6">
        <v>4550.89</v>
      </c>
      <c r="D26" s="6">
        <v>4700</v>
      </c>
      <c r="E26" s="6">
        <v>5200</v>
      </c>
      <c r="F26" s="6">
        <f>+E26-D26</f>
        <v>500</v>
      </c>
      <c r="G26" s="22">
        <f>F26/C26</f>
        <v>0.1098686191052739</v>
      </c>
    </row>
    <row r="27" spans="2:7" ht="12.75">
      <c r="B27" t="s">
        <v>108</v>
      </c>
      <c r="C27" s="6">
        <v>749.54</v>
      </c>
      <c r="D27" s="6">
        <v>860</v>
      </c>
      <c r="E27" s="6">
        <v>880</v>
      </c>
      <c r="F27" s="6">
        <f>+E27-D27</f>
        <v>20</v>
      </c>
      <c r="G27" s="22">
        <f>F27/C27</f>
        <v>0.026683032259786004</v>
      </c>
    </row>
    <row r="28" spans="1:7" s="1" customFormat="1" ht="13.5" thickBot="1">
      <c r="A28" s="40"/>
      <c r="B28" s="87" t="s">
        <v>144</v>
      </c>
      <c r="C28" s="41">
        <f>SUM(C24:C27)</f>
        <v>8579.54</v>
      </c>
      <c r="D28" s="41">
        <f>SUM(D24:D27)</f>
        <v>8880</v>
      </c>
      <c r="E28" s="41">
        <f>SUM(E24:E27)</f>
        <v>9360</v>
      </c>
      <c r="F28" s="41">
        <f>+E28-D28</f>
        <v>480</v>
      </c>
      <c r="G28" s="88">
        <f>F28/C28</f>
        <v>0.05594705543653855</v>
      </c>
    </row>
    <row r="29" spans="6:7" ht="13.5" thickTop="1">
      <c r="F29" s="6"/>
      <c r="G29" s="22"/>
    </row>
    <row r="30" spans="6:7" ht="12.75">
      <c r="F30" s="6"/>
      <c r="G30" s="22"/>
    </row>
    <row r="31" spans="1:7" ht="12.75">
      <c r="A31" s="1" t="s">
        <v>145</v>
      </c>
      <c r="F31" s="6"/>
      <c r="G31" s="22"/>
    </row>
    <row r="32" spans="2:7" ht="12.75">
      <c r="B32" t="s">
        <v>81</v>
      </c>
      <c r="C32" s="6">
        <v>1153.78</v>
      </c>
      <c r="D32" s="30">
        <v>1050</v>
      </c>
      <c r="E32" s="6">
        <v>1000</v>
      </c>
      <c r="F32" s="6">
        <f aca="true" t="shared" si="4" ref="F32:F42">+E32-D32</f>
        <v>-50</v>
      </c>
      <c r="G32" s="22">
        <f aca="true" t="shared" si="5" ref="G32:G42">F32/C32</f>
        <v>-0.04333581792022743</v>
      </c>
    </row>
    <row r="33" spans="2:7" ht="12.75">
      <c r="B33" t="s">
        <v>101</v>
      </c>
      <c r="C33" s="6">
        <v>100</v>
      </c>
      <c r="D33" s="30">
        <v>100</v>
      </c>
      <c r="E33" s="6">
        <v>100</v>
      </c>
      <c r="F33" s="6">
        <f t="shared" si="4"/>
        <v>0</v>
      </c>
      <c r="G33" s="22">
        <f t="shared" si="5"/>
        <v>0</v>
      </c>
    </row>
    <row r="34" spans="2:7" ht="12.75">
      <c r="B34" t="s">
        <v>107</v>
      </c>
      <c r="C34" s="6">
        <v>528.45</v>
      </c>
      <c r="D34" s="30">
        <v>525</v>
      </c>
      <c r="E34" s="6">
        <v>525</v>
      </c>
      <c r="F34" s="6">
        <f t="shared" si="4"/>
        <v>0</v>
      </c>
      <c r="G34" s="22">
        <f t="shared" si="5"/>
        <v>0</v>
      </c>
    </row>
    <row r="35" spans="2:7" ht="12.75">
      <c r="B35" t="s">
        <v>9</v>
      </c>
      <c r="C35" s="6">
        <v>647.52</v>
      </c>
      <c r="D35" s="30">
        <v>660</v>
      </c>
      <c r="E35" s="6">
        <v>680</v>
      </c>
      <c r="F35" s="6">
        <f t="shared" si="4"/>
        <v>20</v>
      </c>
      <c r="G35" s="22">
        <f t="shared" si="5"/>
        <v>0.030887076847047196</v>
      </c>
    </row>
    <row r="36" spans="2:7" ht="12.75">
      <c r="B36" t="s">
        <v>112</v>
      </c>
      <c r="C36" s="6">
        <v>34.51</v>
      </c>
      <c r="D36" s="30">
        <v>50</v>
      </c>
      <c r="E36" s="6">
        <v>50</v>
      </c>
      <c r="F36" s="6">
        <f t="shared" si="4"/>
        <v>0</v>
      </c>
      <c r="G36" s="22">
        <f t="shared" si="5"/>
        <v>0</v>
      </c>
    </row>
    <row r="37" spans="2:7" ht="12.75">
      <c r="B37" t="s">
        <v>113</v>
      </c>
      <c r="C37" s="6">
        <v>395.45</v>
      </c>
      <c r="D37" s="30">
        <v>400</v>
      </c>
      <c r="E37" s="6">
        <v>425</v>
      </c>
      <c r="F37" s="6">
        <f t="shared" si="4"/>
        <v>25</v>
      </c>
      <c r="G37" s="22">
        <f t="shared" si="5"/>
        <v>0.06321911746112024</v>
      </c>
    </row>
    <row r="38" spans="2:7" ht="12.75">
      <c r="B38" t="s">
        <v>109</v>
      </c>
      <c r="C38" s="6">
        <v>1745.56</v>
      </c>
      <c r="D38" s="30">
        <v>1780</v>
      </c>
      <c r="E38" s="6">
        <v>1750</v>
      </c>
      <c r="F38" s="6">
        <f t="shared" si="4"/>
        <v>-30</v>
      </c>
      <c r="G38" s="22">
        <f t="shared" si="5"/>
        <v>-0.017186461651275235</v>
      </c>
    </row>
    <row r="39" spans="2:7" ht="12.75">
      <c r="B39" t="s">
        <v>83</v>
      </c>
      <c r="C39" s="6">
        <v>450.21</v>
      </c>
      <c r="D39" s="30">
        <v>500</v>
      </c>
      <c r="E39" s="6">
        <v>500</v>
      </c>
      <c r="F39" s="6">
        <f t="shared" si="4"/>
        <v>0</v>
      </c>
      <c r="G39" s="22">
        <f t="shared" si="5"/>
        <v>0</v>
      </c>
    </row>
    <row r="40" spans="2:7" ht="12.75">
      <c r="B40" t="s">
        <v>106</v>
      </c>
      <c r="C40" s="6">
        <v>450</v>
      </c>
      <c r="D40" s="30">
        <v>500</v>
      </c>
      <c r="E40" s="6">
        <v>500</v>
      </c>
      <c r="F40" s="6">
        <f t="shared" si="4"/>
        <v>0</v>
      </c>
      <c r="G40" s="22">
        <f t="shared" si="5"/>
        <v>0</v>
      </c>
    </row>
    <row r="41" spans="2:7" ht="12.75">
      <c r="B41" t="s">
        <v>8</v>
      </c>
      <c r="C41" s="6">
        <v>236.8</v>
      </c>
      <c r="D41" s="30">
        <v>240</v>
      </c>
      <c r="E41" s="6">
        <v>250</v>
      </c>
      <c r="F41" s="6">
        <f t="shared" si="4"/>
        <v>10</v>
      </c>
      <c r="G41" s="22">
        <f t="shared" si="5"/>
        <v>0.04222972972972973</v>
      </c>
    </row>
    <row r="42" spans="2:7" ht="12.75">
      <c r="B42" t="s">
        <v>133</v>
      </c>
      <c r="C42" s="6">
        <v>452.89</v>
      </c>
      <c r="D42" s="30">
        <v>500</v>
      </c>
      <c r="E42" s="6">
        <v>500</v>
      </c>
      <c r="F42" s="6">
        <f t="shared" si="4"/>
        <v>0</v>
      </c>
      <c r="G42" s="22">
        <f t="shared" si="5"/>
        <v>0</v>
      </c>
    </row>
    <row r="43" spans="1:7" ht="13.5" thickBot="1">
      <c r="A43" s="10"/>
      <c r="B43" s="87" t="s">
        <v>146</v>
      </c>
      <c r="C43" s="9">
        <f>SUM(C32:C42)</f>
        <v>6195.170000000001</v>
      </c>
      <c r="D43" s="9">
        <f>SUM(D32:D42)</f>
        <v>6305</v>
      </c>
      <c r="E43" s="9">
        <f>SUM(E32:E42)</f>
        <v>6280</v>
      </c>
      <c r="F43" s="9">
        <f>+E43-D43</f>
        <v>-25</v>
      </c>
      <c r="G43" s="23">
        <f>F43/C43</f>
        <v>-0.00403540177267129</v>
      </c>
    </row>
    <row r="44" ht="13.5" thickTop="1"/>
    <row r="45" spans="4:7" ht="12.75">
      <c r="D45" s="30"/>
      <c r="F45" s="6"/>
      <c r="G45" s="22"/>
    </row>
    <row r="46" spans="4:7" ht="12.75">
      <c r="D46" s="30"/>
      <c r="F46" s="6"/>
      <c r="G46" s="22"/>
    </row>
    <row r="47" spans="4:7" ht="12.75">
      <c r="D47" s="30"/>
      <c r="F47" s="6"/>
      <c r="G47" s="22"/>
    </row>
    <row r="48" spans="1:7" ht="12.75">
      <c r="A48" s="1" t="s">
        <v>115</v>
      </c>
      <c r="D48" s="30"/>
      <c r="F48" s="6"/>
      <c r="G48" s="22"/>
    </row>
    <row r="49" spans="2:7" ht="12.75">
      <c r="B49" t="s">
        <v>110</v>
      </c>
      <c r="C49" s="6">
        <v>145.89</v>
      </c>
      <c r="D49" s="30">
        <v>150</v>
      </c>
      <c r="E49" s="6">
        <v>150</v>
      </c>
      <c r="F49" s="6">
        <f>+E49-D49</f>
        <v>0</v>
      </c>
      <c r="G49" s="22">
        <f>F49/C49</f>
        <v>0</v>
      </c>
    </row>
    <row r="50" spans="2:7" ht="12.75">
      <c r="B50" t="s">
        <v>111</v>
      </c>
      <c r="C50" s="6">
        <v>605.48</v>
      </c>
      <c r="D50" s="30">
        <v>600</v>
      </c>
      <c r="E50" s="6">
        <v>600</v>
      </c>
      <c r="F50" s="6">
        <f aca="true" t="shared" si="6" ref="F50:F55">+E50-D50</f>
        <v>0</v>
      </c>
      <c r="G50" s="22">
        <f aca="true" t="shared" si="7" ref="G50:G55">F50/C50</f>
        <v>0</v>
      </c>
    </row>
    <row r="51" spans="2:7" ht="12.75">
      <c r="B51" t="s">
        <v>129</v>
      </c>
      <c r="C51" s="6">
        <v>170</v>
      </c>
      <c r="D51" s="30">
        <v>170</v>
      </c>
      <c r="E51" s="6">
        <v>170</v>
      </c>
      <c r="F51" s="6">
        <f t="shared" si="6"/>
        <v>0</v>
      </c>
      <c r="G51" s="22">
        <f t="shared" si="7"/>
        <v>0</v>
      </c>
    </row>
    <row r="52" spans="2:7" ht="12.75">
      <c r="B52" t="s">
        <v>132</v>
      </c>
      <c r="C52" s="6">
        <v>546.54</v>
      </c>
      <c r="D52" s="30">
        <v>510</v>
      </c>
      <c r="E52" s="6">
        <v>500</v>
      </c>
      <c r="F52" s="6">
        <f t="shared" si="6"/>
        <v>-10</v>
      </c>
      <c r="G52" s="22">
        <f t="shared" si="7"/>
        <v>-0.018296922457642625</v>
      </c>
    </row>
    <row r="53" spans="2:7" ht="12.75">
      <c r="B53" t="s">
        <v>114</v>
      </c>
      <c r="C53" s="6">
        <v>142.5</v>
      </c>
      <c r="D53" s="30">
        <v>150</v>
      </c>
      <c r="E53" s="6">
        <v>150</v>
      </c>
      <c r="F53" s="6">
        <f t="shared" si="6"/>
        <v>0</v>
      </c>
      <c r="G53" s="22">
        <f t="shared" si="7"/>
        <v>0</v>
      </c>
    </row>
    <row r="54" spans="2:7" ht="12.75">
      <c r="B54" t="s">
        <v>102</v>
      </c>
      <c r="C54" s="6">
        <v>200</v>
      </c>
      <c r="D54" s="30">
        <v>200</v>
      </c>
      <c r="E54" s="6">
        <v>200</v>
      </c>
      <c r="F54" s="6">
        <f t="shared" si="6"/>
        <v>0</v>
      </c>
      <c r="G54" s="22">
        <f t="shared" si="7"/>
        <v>0</v>
      </c>
    </row>
    <row r="55" spans="2:7" ht="12.75">
      <c r="B55" t="s">
        <v>82</v>
      </c>
      <c r="C55" s="6">
        <v>6800</v>
      </c>
      <c r="D55" s="30">
        <v>6800</v>
      </c>
      <c r="E55" s="6">
        <v>7100</v>
      </c>
      <c r="F55" s="6">
        <f t="shared" si="6"/>
        <v>300</v>
      </c>
      <c r="G55" s="22">
        <f t="shared" si="7"/>
        <v>0.04411764705882353</v>
      </c>
    </row>
    <row r="56" spans="1:7" s="1" customFormat="1" ht="13.5" thickBot="1">
      <c r="A56" s="40"/>
      <c r="B56" s="87" t="s">
        <v>121</v>
      </c>
      <c r="C56" s="41">
        <f>SUM(C49:C55)</f>
        <v>8610.41</v>
      </c>
      <c r="D56" s="41">
        <f>SUM(D49:D55)</f>
        <v>8580</v>
      </c>
      <c r="E56" s="41">
        <f>SUM(E49:E55)</f>
        <v>8870</v>
      </c>
      <c r="F56" s="41">
        <f>+E56-D56</f>
        <v>290</v>
      </c>
      <c r="G56" s="88">
        <f>F56/C56</f>
        <v>0.03368016157186476</v>
      </c>
    </row>
    <row r="57" spans="6:7" ht="13.5" thickTop="1">
      <c r="F57" s="12"/>
      <c r="G57" s="26"/>
    </row>
    <row r="58" spans="6:7" ht="12.75">
      <c r="F58" s="12"/>
      <c r="G58" s="26"/>
    </row>
    <row r="59" spans="6:7" ht="12.75">
      <c r="F59" s="12"/>
      <c r="G59" s="26"/>
    </row>
    <row r="60" spans="1:7" s="1" customFormat="1" ht="12.75">
      <c r="A60" s="1" t="s">
        <v>147</v>
      </c>
      <c r="B60" s="11"/>
      <c r="C60" s="12">
        <f>C56+C43+C28+C21+C13</f>
        <v>80449.2633</v>
      </c>
      <c r="D60" s="12">
        <f>D56+D43+D28+D21+D13</f>
        <v>80730</v>
      </c>
      <c r="E60" s="12">
        <f>E56+E43+E28+E21+E13</f>
        <v>79760</v>
      </c>
      <c r="F60" s="12">
        <f>+E60-D60</f>
        <v>-970</v>
      </c>
      <c r="G60" s="26">
        <f>F60/C60</f>
        <v>-0.012057288783152846</v>
      </c>
    </row>
    <row r="62" spans="6:7" ht="12.75">
      <c r="F62" s="6"/>
      <c r="G62" s="22"/>
    </row>
    <row r="63" spans="6:7" ht="12.75">
      <c r="F63" s="6"/>
      <c r="G63" s="22"/>
    </row>
    <row r="64" spans="1:7" ht="12.75">
      <c r="A64" s="1" t="s">
        <v>10</v>
      </c>
      <c r="F64" s="6"/>
      <c r="G64" s="22"/>
    </row>
    <row r="65" spans="2:7" ht="12.75">
      <c r="B65" s="4" t="s">
        <v>11</v>
      </c>
      <c r="C65" s="6">
        <v>258.78</v>
      </c>
      <c r="D65" s="6">
        <v>0</v>
      </c>
      <c r="F65" s="6">
        <f>+E65-D65</f>
        <v>0</v>
      </c>
      <c r="G65" s="22">
        <f>F65/C65</f>
        <v>0</v>
      </c>
    </row>
    <row r="66" spans="2:7" ht="12.75">
      <c r="B66" s="39" t="s">
        <v>148</v>
      </c>
      <c r="C66" s="6">
        <v>625.48</v>
      </c>
      <c r="D66" s="6">
        <v>300</v>
      </c>
      <c r="E66" s="6">
        <v>800</v>
      </c>
      <c r="F66" s="6">
        <f>+E66-D66</f>
        <v>500</v>
      </c>
      <c r="G66" s="22">
        <f>F66/C66</f>
        <v>0.7993860714970902</v>
      </c>
    </row>
    <row r="67" spans="6:7" ht="12.75">
      <c r="F67" s="6"/>
      <c r="G67" s="22"/>
    </row>
    <row r="68" spans="1:7" s="1" customFormat="1" ht="13.5" thickBot="1">
      <c r="A68" s="40"/>
      <c r="B68" s="87" t="s">
        <v>149</v>
      </c>
      <c r="C68" s="41">
        <f>SUM(C65:C67)</f>
        <v>884.26</v>
      </c>
      <c r="D68" s="41">
        <f>SUM(D65:D67)</f>
        <v>300</v>
      </c>
      <c r="E68" s="41">
        <f>SUM(E65:E67)</f>
        <v>800</v>
      </c>
      <c r="F68" s="41">
        <f>+E68-D68</f>
        <v>500</v>
      </c>
      <c r="G68" s="88">
        <f>F68/C68</f>
        <v>0.5654445525071812</v>
      </c>
    </row>
    <row r="69" spans="6:7" ht="13.5" thickTop="1">
      <c r="F69" s="6"/>
      <c r="G69" s="22"/>
    </row>
    <row r="70" spans="1:7" ht="12.75">
      <c r="A70" s="1" t="s">
        <v>12</v>
      </c>
      <c r="B70" s="11"/>
      <c r="C70" s="12">
        <f>C60+C68</f>
        <v>81333.5233</v>
      </c>
      <c r="D70" s="12">
        <f>D60+D68</f>
        <v>81030</v>
      </c>
      <c r="E70" s="12">
        <f>E60+E68</f>
        <v>80560</v>
      </c>
      <c r="F70" s="12">
        <f>+E70-D70</f>
        <v>-470</v>
      </c>
      <c r="G70" s="22">
        <f>F70/C70</f>
        <v>-0.00577867502759468</v>
      </c>
    </row>
  </sheetData>
  <sheetProtection/>
  <printOptions/>
  <pageMargins left="0.75" right="0.75" top="1" bottom="1" header="0.5" footer="0.5"/>
  <pageSetup fitToHeight="1" fitToWidth="1" horizontalDpi="300" verticalDpi="300" orientation="portrait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E11" sqref="E11"/>
    </sheetView>
  </sheetViews>
  <sheetFormatPr defaultColWidth="9.140625" defaultRowHeight="12.75"/>
  <cols>
    <col min="1" max="1" width="8.140625" style="0" customWidth="1"/>
    <col min="2" max="2" width="23.00390625" style="0" customWidth="1"/>
    <col min="3" max="4" width="13.421875" style="0" customWidth="1"/>
    <col min="5" max="5" width="13.8515625" style="0" customWidth="1"/>
    <col min="6" max="6" width="9.7109375" style="0" bestFit="1" customWidth="1"/>
    <col min="7" max="7" width="8.7109375" style="0" customWidth="1"/>
  </cols>
  <sheetData>
    <row r="1" spans="1:7" ht="15.75">
      <c r="A1" s="34" t="str">
        <f>'Expenditure Detail'!A1</f>
        <v>XYZ Public Library</v>
      </c>
      <c r="B1" s="34"/>
      <c r="C1" s="34"/>
      <c r="D1" s="34"/>
      <c r="E1" s="34"/>
      <c r="F1" s="34"/>
      <c r="G1" s="34"/>
    </row>
    <row r="2" spans="1:7" ht="15.75">
      <c r="A2" s="34" t="str">
        <f>'Expenditure Detail'!A2</f>
        <v>2013 Budget</v>
      </c>
      <c r="B2" s="34"/>
      <c r="C2" s="34"/>
      <c r="D2" s="34"/>
      <c r="E2" s="34"/>
      <c r="F2" s="34"/>
      <c r="G2" s="34"/>
    </row>
    <row r="3" spans="1:7" ht="15.75">
      <c r="A3" s="34" t="s">
        <v>37</v>
      </c>
      <c r="B3" s="34"/>
      <c r="C3" s="34"/>
      <c r="D3" s="34"/>
      <c r="E3" s="34"/>
      <c r="F3" s="34"/>
      <c r="G3" s="34"/>
    </row>
    <row r="5" ht="12.75">
      <c r="A5" s="1"/>
    </row>
    <row r="6" spans="3:7" ht="12.75">
      <c r="C6" s="7"/>
      <c r="D6" s="7"/>
      <c r="E6" s="7"/>
      <c r="F6" s="8"/>
      <c r="G6" s="1"/>
    </row>
    <row r="7" spans="1:7" ht="25.5">
      <c r="A7" s="50" t="s">
        <v>15</v>
      </c>
      <c r="B7" s="13"/>
      <c r="C7" s="51" t="str">
        <f>'Expenditure Detail'!C6</f>
        <v>2011 Actual</v>
      </c>
      <c r="D7" s="51" t="str">
        <f>'Expenditure Detail'!D6</f>
        <v>2012 Budget</v>
      </c>
      <c r="E7" s="51" t="str">
        <f>'Expenditure Detail'!E6</f>
        <v>2013 Proposed </v>
      </c>
      <c r="F7" s="52" t="str">
        <f>'Expenditure Detail'!F6</f>
        <v>Difference</v>
      </c>
      <c r="G7" s="49"/>
    </row>
    <row r="8" spans="2:7" ht="12.75">
      <c r="B8" t="s">
        <v>42</v>
      </c>
      <c r="C8" s="6">
        <f>'Revenue Detail'!$C$13</f>
        <v>71279</v>
      </c>
      <c r="D8" s="6">
        <f>'Revenue Detail'!D13</f>
        <v>71326</v>
      </c>
      <c r="E8" s="6">
        <f>'Revenue Detail'!$E$13</f>
        <v>71060</v>
      </c>
      <c r="F8" s="6">
        <f aca="true" t="shared" si="0" ref="F8:F13">+E8-D8</f>
        <v>-266</v>
      </c>
      <c r="G8" s="22">
        <f aca="true" t="shared" si="1" ref="G8:G13">F8/D8</f>
        <v>-0.0037293553542887587</v>
      </c>
    </row>
    <row r="9" spans="2:7" ht="12.75">
      <c r="B9" t="s">
        <v>19</v>
      </c>
      <c r="C9" s="6">
        <f>'Revenue Detail'!$C$18</f>
        <v>1588.3</v>
      </c>
      <c r="D9" s="6">
        <f>'Revenue Detail'!D18</f>
        <v>1700</v>
      </c>
      <c r="E9" s="6">
        <f>'Revenue Detail'!$E$18</f>
        <v>1700</v>
      </c>
      <c r="F9" s="6">
        <f t="shared" si="0"/>
        <v>0</v>
      </c>
      <c r="G9" s="22">
        <f t="shared" si="1"/>
        <v>0</v>
      </c>
    </row>
    <row r="10" spans="2:7" ht="12.75">
      <c r="B10" t="s">
        <v>17</v>
      </c>
      <c r="C10" s="6">
        <f>'Revenue Detail'!$C$23</f>
        <v>6778.48</v>
      </c>
      <c r="D10" s="6">
        <f>'Revenue Detail'!D23</f>
        <v>6700</v>
      </c>
      <c r="E10" s="6">
        <f>'Revenue Detail'!$E$23</f>
        <v>7000</v>
      </c>
      <c r="F10" s="6">
        <f t="shared" si="0"/>
        <v>300</v>
      </c>
      <c r="G10" s="22">
        <f t="shared" si="1"/>
        <v>0.04477611940298507</v>
      </c>
    </row>
    <row r="11" spans="2:7" ht="12.75">
      <c r="B11" t="s">
        <v>26</v>
      </c>
      <c r="C11" s="6">
        <v>2050</v>
      </c>
      <c r="D11" s="6">
        <f>'Revenue Detail'!D28</f>
        <v>1100</v>
      </c>
      <c r="E11" s="6">
        <v>600</v>
      </c>
      <c r="F11" s="6">
        <f t="shared" si="0"/>
        <v>-500</v>
      </c>
      <c r="G11" s="22">
        <f t="shared" si="1"/>
        <v>-0.45454545454545453</v>
      </c>
    </row>
    <row r="12" spans="2:7" ht="12.75">
      <c r="B12" t="s">
        <v>20</v>
      </c>
      <c r="C12" s="6">
        <f>'Revenue Detail'!C36</f>
        <v>125.74</v>
      </c>
      <c r="D12" s="6">
        <f>'Revenue Detail'!D36</f>
        <v>200</v>
      </c>
      <c r="E12" s="6">
        <f>'Revenue Detail'!E36</f>
        <v>200</v>
      </c>
      <c r="F12" s="6">
        <f t="shared" si="0"/>
        <v>0</v>
      </c>
      <c r="G12" s="22">
        <f t="shared" si="1"/>
        <v>0</v>
      </c>
    </row>
    <row r="13" spans="1:7" ht="13.5" thickBot="1">
      <c r="A13" s="10"/>
      <c r="B13" s="40" t="s">
        <v>3</v>
      </c>
      <c r="C13" s="41">
        <f>SUM(C8:C12)</f>
        <v>81821.52</v>
      </c>
      <c r="D13" s="41">
        <f>SUM(D8:D12)</f>
        <v>81026</v>
      </c>
      <c r="E13" s="41">
        <f>SUM(E8:E12)</f>
        <v>80560</v>
      </c>
      <c r="F13" s="41">
        <f t="shared" si="0"/>
        <v>-466</v>
      </c>
      <c r="G13" s="23">
        <f t="shared" si="1"/>
        <v>-0.005751240342606077</v>
      </c>
    </row>
    <row r="14" spans="3:7" ht="13.5" thickTop="1">
      <c r="C14" s="6"/>
      <c r="D14" s="6"/>
      <c r="E14" s="6"/>
      <c r="F14" s="6"/>
      <c r="G14" s="22"/>
    </row>
    <row r="15" spans="3:7" ht="12.75">
      <c r="C15" s="6"/>
      <c r="D15" s="6"/>
      <c r="E15" s="6"/>
      <c r="F15" s="6"/>
      <c r="G15" s="22"/>
    </row>
    <row r="16" spans="1:7" ht="12.75">
      <c r="A16" s="50" t="s">
        <v>0</v>
      </c>
      <c r="B16" s="13"/>
      <c r="C16" s="53"/>
      <c r="D16" s="53"/>
      <c r="E16" s="53"/>
      <c r="F16" s="53"/>
      <c r="G16" s="54"/>
    </row>
    <row r="17" spans="2:7" ht="12.75">
      <c r="B17" t="s">
        <v>1</v>
      </c>
      <c r="C17" s="6">
        <f>'Expenditure Detail'!$C$13</f>
        <v>46059.8933</v>
      </c>
      <c r="D17" s="6">
        <f>'Expenditure Detail'!D13</f>
        <v>46190</v>
      </c>
      <c r="E17" s="6">
        <f>'Expenditure Detail'!$E$13</f>
        <v>44050</v>
      </c>
      <c r="F17" s="6">
        <f aca="true" t="shared" si="2" ref="F17:F23">+E17-D17</f>
        <v>-2140</v>
      </c>
      <c r="G17" s="22">
        <f aca="true" t="shared" si="3" ref="G17:G23">F17/D17</f>
        <v>-0.04633037453994371</v>
      </c>
    </row>
    <row r="18" spans="2:7" ht="12.75">
      <c r="B18" t="s">
        <v>4</v>
      </c>
      <c r="C18" s="6">
        <f>'Expenditure Detail'!$C$21</f>
        <v>11004.25</v>
      </c>
      <c r="D18" s="6">
        <f>'Expenditure Detail'!D21</f>
        <v>10775</v>
      </c>
      <c r="E18" s="6">
        <f>'Expenditure Detail'!$E$21</f>
        <v>11200</v>
      </c>
      <c r="F18" s="6">
        <f t="shared" si="2"/>
        <v>425</v>
      </c>
      <c r="G18" s="22">
        <f t="shared" si="3"/>
        <v>0.03944315545243619</v>
      </c>
    </row>
    <row r="19" spans="2:7" ht="12.75">
      <c r="B19" t="s">
        <v>141</v>
      </c>
      <c r="C19" s="6">
        <f>'Expenditure Detail'!$C$28</f>
        <v>8579.54</v>
      </c>
      <c r="D19" s="6">
        <f>'Expenditure Detail'!D28</f>
        <v>8880</v>
      </c>
      <c r="E19" s="6">
        <f>'Expenditure Detail'!$E$28</f>
        <v>9360</v>
      </c>
      <c r="F19" s="6">
        <f t="shared" si="2"/>
        <v>480</v>
      </c>
      <c r="G19" s="22">
        <f t="shared" si="3"/>
        <v>0.05405405405405406</v>
      </c>
    </row>
    <row r="20" spans="2:7" ht="12.75">
      <c r="B20" t="s">
        <v>145</v>
      </c>
      <c r="C20" s="6">
        <f>'Expenditure Detail'!$C$43</f>
        <v>6195.170000000001</v>
      </c>
      <c r="D20" s="6">
        <f>'Expenditure Detail'!D43</f>
        <v>6305</v>
      </c>
      <c r="E20" s="6">
        <f>'Expenditure Detail'!$E$43</f>
        <v>6280</v>
      </c>
      <c r="F20" s="6">
        <f t="shared" si="2"/>
        <v>-25</v>
      </c>
      <c r="G20" s="22">
        <f t="shared" si="3"/>
        <v>-0.003965107057890563</v>
      </c>
    </row>
    <row r="21" spans="2:7" ht="12.75">
      <c r="B21" t="s">
        <v>115</v>
      </c>
      <c r="C21" s="6">
        <f>'Expenditure Detail'!C56</f>
        <v>8610.41</v>
      </c>
      <c r="D21" s="6">
        <f>'Expenditure Detail'!D56</f>
        <v>8580</v>
      </c>
      <c r="E21" s="6">
        <f>'Expenditure Detail'!E56</f>
        <v>8870</v>
      </c>
      <c r="F21" s="6">
        <f t="shared" si="2"/>
        <v>290</v>
      </c>
      <c r="G21" s="22">
        <f t="shared" si="3"/>
        <v>0.0337995337995338</v>
      </c>
    </row>
    <row r="22" spans="2:7" ht="12.75">
      <c r="B22" t="s">
        <v>10</v>
      </c>
      <c r="C22" s="6">
        <f>'Expenditure Detail'!$C$68</f>
        <v>884.26</v>
      </c>
      <c r="D22" s="6">
        <f>'Expenditure Detail'!D68</f>
        <v>300</v>
      </c>
      <c r="E22" s="6">
        <f>'Expenditure Detail'!$E$68</f>
        <v>800</v>
      </c>
      <c r="F22" s="6">
        <f t="shared" si="2"/>
        <v>500</v>
      </c>
      <c r="G22" s="22">
        <f t="shared" si="3"/>
        <v>1.6666666666666667</v>
      </c>
    </row>
    <row r="23" spans="1:7" ht="13.5" thickBot="1">
      <c r="A23" s="10"/>
      <c r="B23" s="40" t="s">
        <v>3</v>
      </c>
      <c r="C23" s="41">
        <f>SUM(C17:C22)</f>
        <v>81333.5233</v>
      </c>
      <c r="D23" s="41">
        <f>SUM(D17:D22)</f>
        <v>81030</v>
      </c>
      <c r="E23" s="41">
        <f>SUM(E17:E22)</f>
        <v>80560</v>
      </c>
      <c r="F23" s="41">
        <f t="shared" si="2"/>
        <v>-470</v>
      </c>
      <c r="G23" s="23">
        <f t="shared" si="3"/>
        <v>-0.005800320868814019</v>
      </c>
    </row>
    <row r="24" spans="6:7" ht="13.5" thickTop="1">
      <c r="F24" s="12"/>
      <c r="G24" s="22"/>
    </row>
    <row r="25" spans="6:7" ht="12.75">
      <c r="F25" s="12"/>
      <c r="G25" s="22"/>
    </row>
    <row r="26" spans="6:7" ht="12.75">
      <c r="F26" s="12"/>
      <c r="G26" s="22"/>
    </row>
    <row r="27" spans="6:7" ht="12.75">
      <c r="F27" s="12"/>
      <c r="G27" s="22"/>
    </row>
    <row r="28" spans="1:8" ht="13.5" thickBot="1">
      <c r="A28" s="40" t="s">
        <v>35</v>
      </c>
      <c r="B28" s="10"/>
      <c r="C28" s="41">
        <f>C13-C23</f>
        <v>487.99670000000333</v>
      </c>
      <c r="D28" s="41">
        <f>D13-D23</f>
        <v>-4</v>
      </c>
      <c r="E28" s="41">
        <f>E13-E23</f>
        <v>0</v>
      </c>
      <c r="F28" s="41">
        <f>+E28-D28</f>
        <v>4</v>
      </c>
      <c r="G28" s="88">
        <f>F28/D28</f>
        <v>-1</v>
      </c>
      <c r="H28" s="1"/>
    </row>
    <row r="29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28"/>
  <sheetViews>
    <sheetView zoomScale="90" zoomScaleNormal="90" zoomScalePageLayoutView="0" workbookViewId="0" topLeftCell="A1">
      <pane xSplit="1" ySplit="4" topLeftCell="D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18" sqref="N18"/>
    </sheetView>
  </sheetViews>
  <sheetFormatPr defaultColWidth="9.140625" defaultRowHeight="12.75"/>
  <cols>
    <col min="1" max="1" width="16.421875" style="0" customWidth="1"/>
    <col min="2" max="2" width="11.140625" style="0" customWidth="1"/>
    <col min="3" max="3" width="10.140625" style="0" customWidth="1"/>
    <col min="4" max="4" width="8.7109375" style="0" customWidth="1"/>
    <col min="5" max="5" width="9.00390625" style="0" customWidth="1"/>
    <col min="6" max="6" width="8.7109375" style="0" customWidth="1"/>
    <col min="7" max="7" width="9.00390625" style="0" customWidth="1"/>
    <col min="8" max="8" width="8.421875" style="0" customWidth="1"/>
    <col min="9" max="9" width="9.00390625" style="0" customWidth="1"/>
    <col min="10" max="10" width="10.7109375" style="0" customWidth="1"/>
    <col min="11" max="11" width="10.28125" style="0" customWidth="1"/>
    <col min="12" max="12" width="10.57421875" style="0" customWidth="1"/>
    <col min="13" max="14" width="10.28125" style="0" customWidth="1"/>
    <col min="15" max="16" width="10.57421875" style="0" customWidth="1"/>
    <col min="17" max="17" width="8.140625" style="0" customWidth="1"/>
    <col min="18" max="19" width="10.28125" style="0" bestFit="1" customWidth="1"/>
    <col min="20" max="22" width="9.421875" style="0" bestFit="1" customWidth="1"/>
  </cols>
  <sheetData>
    <row r="1" spans="1:17" ht="15.75">
      <c r="A1" s="34"/>
      <c r="B1" s="34" t="s">
        <v>36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15.75">
      <c r="A2" s="34"/>
      <c r="B2" s="34" t="s">
        <v>38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6" ht="15.75">
      <c r="A3" s="37"/>
      <c r="B3" s="37" t="s">
        <v>67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7" s="94" customFormat="1" ht="22.5">
      <c r="A4" s="91" t="s">
        <v>15</v>
      </c>
      <c r="B4" s="92" t="s">
        <v>45</v>
      </c>
      <c r="C4" s="92" t="s">
        <v>46</v>
      </c>
      <c r="D4" s="92" t="s">
        <v>47</v>
      </c>
      <c r="E4" s="92" t="s">
        <v>48</v>
      </c>
      <c r="F4" s="92" t="s">
        <v>41</v>
      </c>
      <c r="G4" s="92" t="s">
        <v>49</v>
      </c>
      <c r="H4" s="92" t="s">
        <v>50</v>
      </c>
      <c r="I4" s="92" t="s">
        <v>51</v>
      </c>
      <c r="J4" s="92" t="s">
        <v>52</v>
      </c>
      <c r="K4" s="92" t="s">
        <v>53</v>
      </c>
      <c r="L4" s="92" t="s">
        <v>54</v>
      </c>
      <c r="M4" s="92" t="s">
        <v>55</v>
      </c>
      <c r="N4" s="92" t="s">
        <v>155</v>
      </c>
      <c r="O4" s="92" t="s">
        <v>39</v>
      </c>
      <c r="P4" s="93" t="s">
        <v>40</v>
      </c>
      <c r="Q4" s="93"/>
    </row>
    <row r="5" spans="1:30" s="98" customFormat="1" ht="11.25">
      <c r="A5" s="95" t="s">
        <v>56</v>
      </c>
      <c r="B5" s="96">
        <v>36300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>
        <f aca="true" t="shared" si="0" ref="N5:N13">SUM(B5:M5)</f>
        <v>36300</v>
      </c>
      <c r="O5" s="96">
        <f>'Revenue Detail'!D8</f>
        <v>36300</v>
      </c>
      <c r="P5" s="96">
        <f aca="true" t="shared" si="1" ref="P5:P13">N5-O5</f>
        <v>0</v>
      </c>
      <c r="Q5" s="97">
        <f>N5/O5</f>
        <v>1</v>
      </c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</row>
    <row r="6" spans="1:30" s="98" customFormat="1" ht="11.25">
      <c r="A6" s="95" t="s">
        <v>57</v>
      </c>
      <c r="B6" s="96"/>
      <c r="C6" s="96">
        <f>O6/2</f>
        <v>13190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>
        <f t="shared" si="0"/>
        <v>13190</v>
      </c>
      <c r="O6" s="96">
        <f>'Revenue Detail'!D9</f>
        <v>26380</v>
      </c>
      <c r="P6" s="96">
        <f t="shared" si="1"/>
        <v>-13190</v>
      </c>
      <c r="Q6" s="97">
        <f aca="true" t="shared" si="2" ref="Q6:Q25">N6/O6</f>
        <v>0.5</v>
      </c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</row>
    <row r="7" spans="1:30" s="98" customFormat="1" ht="24.75" customHeight="1">
      <c r="A7" s="95" t="s">
        <v>58</v>
      </c>
      <c r="B7" s="96"/>
      <c r="C7" s="96"/>
      <c r="D7" s="96"/>
      <c r="E7" s="96">
        <f>O7</f>
        <v>8646</v>
      </c>
      <c r="F7" s="96"/>
      <c r="G7" s="96"/>
      <c r="H7" s="96"/>
      <c r="I7" s="96"/>
      <c r="J7" s="96"/>
      <c r="K7" s="96"/>
      <c r="L7" s="96"/>
      <c r="M7" s="96"/>
      <c r="N7" s="96">
        <f t="shared" si="0"/>
        <v>8646</v>
      </c>
      <c r="O7" s="96">
        <f>'Revenue Detail'!D10+'Revenue Detail'!D11+'Revenue Detail'!D12</f>
        <v>8646</v>
      </c>
      <c r="P7" s="96">
        <f t="shared" si="1"/>
        <v>0</v>
      </c>
      <c r="Q7" s="97">
        <f t="shared" si="2"/>
        <v>1</v>
      </c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</row>
    <row r="8" spans="1:30" s="98" customFormat="1" ht="12" customHeight="1">
      <c r="A8" s="95" t="s">
        <v>59</v>
      </c>
      <c r="B8" s="96">
        <v>70.1</v>
      </c>
      <c r="C8" s="96">
        <v>71.5</v>
      </c>
      <c r="D8" s="96">
        <v>81.5</v>
      </c>
      <c r="E8" s="96">
        <v>84.1</v>
      </c>
      <c r="F8" s="96">
        <v>73.5</v>
      </c>
      <c r="G8" s="96">
        <v>73.4</v>
      </c>
      <c r="H8" s="96"/>
      <c r="I8" s="96"/>
      <c r="J8" s="96"/>
      <c r="K8" s="96"/>
      <c r="L8" s="96"/>
      <c r="M8" s="96"/>
      <c r="N8" s="96">
        <f t="shared" si="0"/>
        <v>454.1</v>
      </c>
      <c r="O8" s="96">
        <f>'Revenue Detail'!E16</f>
        <v>800</v>
      </c>
      <c r="P8" s="96">
        <f t="shared" si="1"/>
        <v>-345.9</v>
      </c>
      <c r="Q8" s="97">
        <f t="shared" si="2"/>
        <v>0.567625</v>
      </c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</row>
    <row r="9" spans="1:30" s="98" customFormat="1" ht="12" customHeight="1">
      <c r="A9" s="95" t="s">
        <v>60</v>
      </c>
      <c r="B9" s="96">
        <v>73.1</v>
      </c>
      <c r="C9" s="96">
        <v>72.7</v>
      </c>
      <c r="D9" s="96">
        <v>69.2</v>
      </c>
      <c r="E9" s="96">
        <v>73.5</v>
      </c>
      <c r="F9" s="96">
        <v>76.1</v>
      </c>
      <c r="G9" s="96">
        <v>72.6</v>
      </c>
      <c r="H9" s="96"/>
      <c r="I9" s="96"/>
      <c r="J9" s="96"/>
      <c r="K9" s="96"/>
      <c r="L9" s="96"/>
      <c r="M9" s="96"/>
      <c r="N9" s="96">
        <f t="shared" si="0"/>
        <v>437.20000000000005</v>
      </c>
      <c r="O9" s="96">
        <f>'Revenue Detail'!D17</f>
        <v>900</v>
      </c>
      <c r="P9" s="96">
        <f t="shared" si="1"/>
        <v>-462.79999999999995</v>
      </c>
      <c r="Q9" s="97">
        <f t="shared" si="2"/>
        <v>0.4857777777777778</v>
      </c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</row>
    <row r="10" spans="1:30" s="98" customFormat="1" ht="11.25">
      <c r="A10" s="95" t="s">
        <v>150</v>
      </c>
      <c r="B10" s="96"/>
      <c r="C10" s="96"/>
      <c r="D10" s="96">
        <v>1156</v>
      </c>
      <c r="E10" s="96"/>
      <c r="F10" s="96"/>
      <c r="G10" s="96">
        <v>1375</v>
      </c>
      <c r="H10" s="96"/>
      <c r="I10" s="96"/>
      <c r="J10" s="96"/>
      <c r="K10" s="96"/>
      <c r="L10" s="96"/>
      <c r="M10" s="96"/>
      <c r="N10" s="96">
        <f t="shared" si="0"/>
        <v>2531</v>
      </c>
      <c r="O10" s="96">
        <f>'Revenue Detail'!D21</f>
        <v>5800</v>
      </c>
      <c r="P10" s="96">
        <f t="shared" si="1"/>
        <v>-3269</v>
      </c>
      <c r="Q10" s="97">
        <f t="shared" si="2"/>
        <v>0.4363793103448276</v>
      </c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</row>
    <row r="11" spans="1:30" s="98" customFormat="1" ht="11.25">
      <c r="A11" s="95" t="s">
        <v>17</v>
      </c>
      <c r="B11" s="96">
        <v>25</v>
      </c>
      <c r="C11" s="96">
        <v>100</v>
      </c>
      <c r="D11" s="96">
        <v>60</v>
      </c>
      <c r="E11" s="96">
        <v>125</v>
      </c>
      <c r="F11" s="96">
        <v>75</v>
      </c>
      <c r="G11" s="96">
        <v>40</v>
      </c>
      <c r="H11" s="96"/>
      <c r="I11" s="96"/>
      <c r="J11" s="96"/>
      <c r="K11" s="96"/>
      <c r="L11" s="96"/>
      <c r="M11" s="96"/>
      <c r="N11" s="96">
        <f t="shared" si="0"/>
        <v>425</v>
      </c>
      <c r="O11" s="96">
        <f>'Revenue Detail'!D22</f>
        <v>900</v>
      </c>
      <c r="P11" s="96">
        <f t="shared" si="1"/>
        <v>-475</v>
      </c>
      <c r="Q11" s="97">
        <f t="shared" si="2"/>
        <v>0.4722222222222222</v>
      </c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</row>
    <row r="12" spans="1:30" s="98" customFormat="1" ht="11.25">
      <c r="A12" s="95" t="s">
        <v>26</v>
      </c>
      <c r="B12" s="96"/>
      <c r="C12" s="96"/>
      <c r="D12" s="96">
        <v>500</v>
      </c>
      <c r="E12" s="96"/>
      <c r="F12" s="96"/>
      <c r="G12" s="96"/>
      <c r="H12" s="96"/>
      <c r="I12" s="96"/>
      <c r="J12" s="96"/>
      <c r="K12" s="96"/>
      <c r="L12" s="96"/>
      <c r="M12" s="96"/>
      <c r="N12" s="96">
        <f t="shared" si="0"/>
        <v>500</v>
      </c>
      <c r="O12" s="96">
        <f>'Revenue Detail'!E28</f>
        <v>500</v>
      </c>
      <c r="P12" s="96">
        <f t="shared" si="1"/>
        <v>0</v>
      </c>
      <c r="Q12" s="97">
        <f t="shared" si="2"/>
        <v>1</v>
      </c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</row>
    <row r="13" spans="1:30" s="98" customFormat="1" ht="11.25">
      <c r="A13" s="95" t="s">
        <v>6</v>
      </c>
      <c r="B13" s="96">
        <v>35</v>
      </c>
      <c r="C13" s="96">
        <v>35</v>
      </c>
      <c r="D13" s="96">
        <v>35</v>
      </c>
      <c r="E13" s="96">
        <v>35</v>
      </c>
      <c r="F13" s="96">
        <v>786.24</v>
      </c>
      <c r="G13" s="96">
        <v>35</v>
      </c>
      <c r="H13" s="96"/>
      <c r="I13" s="96"/>
      <c r="J13" s="96"/>
      <c r="K13" s="96"/>
      <c r="L13" s="96"/>
      <c r="M13" s="96"/>
      <c r="N13" s="96">
        <f t="shared" si="0"/>
        <v>961.24</v>
      </c>
      <c r="O13" s="96">
        <f>'Revenue Detail'!D33</f>
        <v>2000</v>
      </c>
      <c r="P13" s="96">
        <f t="shared" si="1"/>
        <v>-1038.76</v>
      </c>
      <c r="Q13" s="97">
        <f t="shared" si="2"/>
        <v>0.48062</v>
      </c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</row>
    <row r="14" spans="1:30" s="98" customFormat="1" ht="16.5" customHeight="1" thickBot="1">
      <c r="A14" s="99" t="s">
        <v>25</v>
      </c>
      <c r="B14" s="100">
        <f aca="true" t="shared" si="3" ref="B14:O14">SUM(B5:B13)</f>
        <v>36503.2</v>
      </c>
      <c r="C14" s="100">
        <f t="shared" si="3"/>
        <v>13469.2</v>
      </c>
      <c r="D14" s="100">
        <f t="shared" si="3"/>
        <v>1901.7</v>
      </c>
      <c r="E14" s="100">
        <f t="shared" si="3"/>
        <v>8963.6</v>
      </c>
      <c r="F14" s="100">
        <f t="shared" si="3"/>
        <v>1010.84</v>
      </c>
      <c r="G14" s="100">
        <f t="shared" si="3"/>
        <v>1596</v>
      </c>
      <c r="H14" s="100">
        <f t="shared" si="3"/>
        <v>0</v>
      </c>
      <c r="I14" s="100">
        <f t="shared" si="3"/>
        <v>0</v>
      </c>
      <c r="J14" s="100">
        <f t="shared" si="3"/>
        <v>0</v>
      </c>
      <c r="K14" s="100">
        <f t="shared" si="3"/>
        <v>0</v>
      </c>
      <c r="L14" s="100">
        <f t="shared" si="3"/>
        <v>0</v>
      </c>
      <c r="M14" s="100">
        <f t="shared" si="3"/>
        <v>0</v>
      </c>
      <c r="N14" s="100">
        <f t="shared" si="3"/>
        <v>63444.53999999999</v>
      </c>
      <c r="O14" s="100">
        <f t="shared" si="3"/>
        <v>82226</v>
      </c>
      <c r="P14" s="100">
        <f>N14-O14</f>
        <v>-18781.460000000006</v>
      </c>
      <c r="Q14" s="101">
        <f t="shared" si="2"/>
        <v>0.7715873324739133</v>
      </c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</row>
    <row r="15" spans="1:30" s="98" customFormat="1" ht="12" thickTop="1">
      <c r="A15" s="95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7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</row>
    <row r="16" spans="1:30" s="98" customFormat="1" ht="11.25">
      <c r="A16" s="95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7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</row>
    <row r="17" spans="1:30" s="98" customFormat="1" ht="11.25">
      <c r="A17" s="95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7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</row>
    <row r="18" spans="1:30" s="95" customFormat="1" ht="22.5">
      <c r="A18" s="91" t="s">
        <v>0</v>
      </c>
      <c r="B18" s="92" t="s">
        <v>45</v>
      </c>
      <c r="C18" s="92" t="s">
        <v>46</v>
      </c>
      <c r="D18" s="92" t="s">
        <v>47</v>
      </c>
      <c r="E18" s="92" t="s">
        <v>48</v>
      </c>
      <c r="F18" s="92" t="s">
        <v>41</v>
      </c>
      <c r="G18" s="92" t="s">
        <v>49</v>
      </c>
      <c r="H18" s="92" t="s">
        <v>50</v>
      </c>
      <c r="I18" s="92" t="s">
        <v>51</v>
      </c>
      <c r="J18" s="92" t="s">
        <v>52</v>
      </c>
      <c r="K18" s="92" t="s">
        <v>53</v>
      </c>
      <c r="L18" s="92" t="s">
        <v>54</v>
      </c>
      <c r="M18" s="92" t="s">
        <v>55</v>
      </c>
      <c r="N18" s="92" t="s">
        <v>156</v>
      </c>
      <c r="O18" s="92" t="s">
        <v>39</v>
      </c>
      <c r="P18" s="93" t="s">
        <v>40</v>
      </c>
      <c r="Q18" s="102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</row>
    <row r="19" spans="1:30" s="98" customFormat="1" ht="11.25">
      <c r="A19" s="95" t="s">
        <v>1</v>
      </c>
      <c r="B19" s="96">
        <v>3849</v>
      </c>
      <c r="C19" s="96">
        <v>3849</v>
      </c>
      <c r="D19" s="96">
        <v>3849</v>
      </c>
      <c r="E19" s="96">
        <v>3849</v>
      </c>
      <c r="F19" s="96">
        <v>3849</v>
      </c>
      <c r="G19" s="96">
        <v>3849</v>
      </c>
      <c r="H19" s="96"/>
      <c r="I19" s="96"/>
      <c r="J19" s="96"/>
      <c r="K19" s="96"/>
      <c r="L19" s="96"/>
      <c r="M19" s="96"/>
      <c r="N19" s="96">
        <f aca="true" t="shared" si="4" ref="N19:N24">SUM(B19:M19)</f>
        <v>23094</v>
      </c>
      <c r="O19" s="96">
        <f>'Expenditure Detail'!D13</f>
        <v>46190</v>
      </c>
      <c r="P19" s="96">
        <f aca="true" t="shared" si="5" ref="P19:P25">N19-O19</f>
        <v>-23096</v>
      </c>
      <c r="Q19" s="97">
        <f t="shared" si="2"/>
        <v>0.49997835029227106</v>
      </c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</row>
    <row r="20" spans="1:30" s="98" customFormat="1" ht="11.25">
      <c r="A20" s="95" t="s">
        <v>4</v>
      </c>
      <c r="B20" s="96">
        <v>853.24</v>
      </c>
      <c r="C20" s="96">
        <v>799.52</v>
      </c>
      <c r="D20" s="96">
        <v>885.41</v>
      </c>
      <c r="E20" s="96">
        <v>879.45</v>
      </c>
      <c r="F20" s="96">
        <v>865.21</v>
      </c>
      <c r="G20" s="96">
        <v>858.56</v>
      </c>
      <c r="H20" s="96"/>
      <c r="I20" s="96"/>
      <c r="J20" s="96"/>
      <c r="K20" s="96"/>
      <c r="L20" s="96"/>
      <c r="M20" s="96"/>
      <c r="N20" s="96">
        <f t="shared" si="4"/>
        <v>5141.389999999999</v>
      </c>
      <c r="O20" s="96">
        <f>'Expenditure Detail'!D21</f>
        <v>10775</v>
      </c>
      <c r="P20" s="96">
        <f t="shared" si="5"/>
        <v>-5633.610000000001</v>
      </c>
      <c r="Q20" s="97">
        <f t="shared" si="2"/>
        <v>0.4771591647331786</v>
      </c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</row>
    <row r="21" spans="1:30" s="98" customFormat="1" ht="30" customHeight="1">
      <c r="A21" s="95" t="s">
        <v>143</v>
      </c>
      <c r="B21" s="96">
        <v>858.52</v>
      </c>
      <c r="C21" s="96">
        <v>873.21</v>
      </c>
      <c r="D21" s="96">
        <v>823.45</v>
      </c>
      <c r="E21" s="96">
        <v>792.54</v>
      </c>
      <c r="F21" s="96">
        <v>765.23</v>
      </c>
      <c r="G21" s="96">
        <v>746.81</v>
      </c>
      <c r="H21" s="96"/>
      <c r="I21" s="96"/>
      <c r="J21" s="96"/>
      <c r="K21" s="96"/>
      <c r="L21" s="96"/>
      <c r="M21" s="96"/>
      <c r="N21" s="96">
        <f t="shared" si="4"/>
        <v>4859.76</v>
      </c>
      <c r="O21" s="96">
        <f>'Expenditure Detail'!D28</f>
        <v>8880</v>
      </c>
      <c r="P21" s="96">
        <f t="shared" si="5"/>
        <v>-4020.24</v>
      </c>
      <c r="Q21" s="97">
        <f t="shared" si="2"/>
        <v>0.5472702702702703</v>
      </c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</row>
    <row r="22" spans="1:30" s="98" customFormat="1" ht="11.25">
      <c r="A22" s="95" t="s">
        <v>145</v>
      </c>
      <c r="B22" s="96">
        <v>517.56</v>
      </c>
      <c r="C22" s="96">
        <v>526.84</v>
      </c>
      <c r="D22" s="96">
        <v>516.84</v>
      </c>
      <c r="E22" s="96">
        <v>564.8</v>
      </c>
      <c r="F22" s="96">
        <v>525.45</v>
      </c>
      <c r="G22" s="96">
        <v>532.84</v>
      </c>
      <c r="H22" s="96"/>
      <c r="I22" s="96"/>
      <c r="J22" s="96"/>
      <c r="K22" s="96"/>
      <c r="L22" s="96"/>
      <c r="M22" s="96"/>
      <c r="N22" s="96">
        <f t="shared" si="4"/>
        <v>3184.33</v>
      </c>
      <c r="O22" s="96">
        <f>'Expenditure Detail'!D43</f>
        <v>6305</v>
      </c>
      <c r="P22" s="96">
        <f t="shared" si="5"/>
        <v>-3120.67</v>
      </c>
      <c r="Q22" s="97">
        <f t="shared" si="2"/>
        <v>0.5050483743061063</v>
      </c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</row>
    <row r="23" spans="1:30" s="98" customFormat="1" ht="11.25">
      <c r="A23" s="95" t="s">
        <v>115</v>
      </c>
      <c r="B23" s="96">
        <v>7012.54</v>
      </c>
      <c r="C23" s="96">
        <v>0</v>
      </c>
      <c r="D23" s="96">
        <v>23.85</v>
      </c>
      <c r="E23" s="96">
        <v>235.7</v>
      </c>
      <c r="F23" s="96">
        <v>0</v>
      </c>
      <c r="G23" s="96">
        <v>18.52</v>
      </c>
      <c r="H23" s="96"/>
      <c r="I23" s="96"/>
      <c r="J23" s="96"/>
      <c r="K23" s="96"/>
      <c r="L23" s="96"/>
      <c r="M23" s="96"/>
      <c r="N23" s="96">
        <f t="shared" si="4"/>
        <v>7290.610000000001</v>
      </c>
      <c r="O23" s="96">
        <f>'Expenditure Detail'!D56</f>
        <v>8580</v>
      </c>
      <c r="P23" s="96">
        <f t="shared" si="5"/>
        <v>-1289.3899999999994</v>
      </c>
      <c r="Q23" s="97">
        <f t="shared" si="2"/>
        <v>0.8497214452214453</v>
      </c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</row>
    <row r="24" spans="1:30" s="98" customFormat="1" ht="11.25">
      <c r="A24" s="95" t="s">
        <v>10</v>
      </c>
      <c r="B24" s="96"/>
      <c r="C24" s="96"/>
      <c r="D24" s="96"/>
      <c r="E24" s="96"/>
      <c r="F24" s="96">
        <v>284.56</v>
      </c>
      <c r="G24" s="96"/>
      <c r="H24" s="96"/>
      <c r="I24" s="96"/>
      <c r="J24" s="96"/>
      <c r="K24" s="96"/>
      <c r="L24" s="96"/>
      <c r="M24" s="96"/>
      <c r="N24" s="96">
        <f t="shared" si="4"/>
        <v>284.56</v>
      </c>
      <c r="O24" s="96">
        <f>'Expenditure Detail'!D68</f>
        <v>300</v>
      </c>
      <c r="P24" s="96">
        <f t="shared" si="5"/>
        <v>-15.439999999999998</v>
      </c>
      <c r="Q24" s="97">
        <f t="shared" si="2"/>
        <v>0.9485333333333333</v>
      </c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</row>
    <row r="25" spans="1:30" s="98" customFormat="1" ht="27.75" customHeight="1" thickBot="1">
      <c r="A25" s="99" t="s">
        <v>12</v>
      </c>
      <c r="B25" s="100">
        <f aca="true" t="shared" si="6" ref="B25:O25">SUM(B19:B24)</f>
        <v>13090.86</v>
      </c>
      <c r="C25" s="100">
        <f t="shared" si="6"/>
        <v>6048.570000000001</v>
      </c>
      <c r="D25" s="100">
        <f t="shared" si="6"/>
        <v>6098.55</v>
      </c>
      <c r="E25" s="100">
        <f t="shared" si="6"/>
        <v>6321.49</v>
      </c>
      <c r="F25" s="100">
        <f t="shared" si="6"/>
        <v>6289.450000000001</v>
      </c>
      <c r="G25" s="100">
        <f t="shared" si="6"/>
        <v>6005.73</v>
      </c>
      <c r="H25" s="100">
        <f t="shared" si="6"/>
        <v>0</v>
      </c>
      <c r="I25" s="100">
        <f t="shared" si="6"/>
        <v>0</v>
      </c>
      <c r="J25" s="100">
        <f t="shared" si="6"/>
        <v>0</v>
      </c>
      <c r="K25" s="100">
        <f t="shared" si="6"/>
        <v>0</v>
      </c>
      <c r="L25" s="100">
        <f t="shared" si="6"/>
        <v>0</v>
      </c>
      <c r="M25" s="100">
        <f t="shared" si="6"/>
        <v>0</v>
      </c>
      <c r="N25" s="100">
        <f t="shared" si="6"/>
        <v>43854.65</v>
      </c>
      <c r="O25" s="100">
        <f t="shared" si="6"/>
        <v>81030</v>
      </c>
      <c r="P25" s="100">
        <f t="shared" si="5"/>
        <v>-37175.35</v>
      </c>
      <c r="Q25" s="101">
        <f t="shared" si="2"/>
        <v>0.5412149821053931</v>
      </c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</row>
    <row r="26" spans="1:30" s="98" customFormat="1" ht="12" thickTop="1">
      <c r="A26" s="95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</row>
    <row r="27" spans="1:30" s="98" customFormat="1" ht="11.25">
      <c r="A27" s="95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</row>
    <row r="28" spans="1:30" s="98" customFormat="1" ht="11.25">
      <c r="A28" s="95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</row>
    <row r="29" spans="1:30" s="43" customFormat="1" ht="12">
      <c r="A29" s="44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</row>
    <row r="30" spans="1:30" s="43" customFormat="1" ht="12">
      <c r="A30" s="44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</row>
    <row r="31" spans="1:30" s="43" customFormat="1" ht="12">
      <c r="A31" s="44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</row>
    <row r="32" spans="1:30" s="43" customFormat="1" ht="12">
      <c r="A32" s="44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</row>
    <row r="33" spans="1:30" s="43" customFormat="1" ht="12">
      <c r="A33" s="44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</row>
    <row r="34" spans="1:30" s="43" customFormat="1" ht="12">
      <c r="A34" s="44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</row>
    <row r="35" spans="1:30" s="43" customFormat="1" ht="12">
      <c r="A35" s="44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</row>
    <row r="36" spans="1:30" s="43" customFormat="1" ht="12">
      <c r="A36" s="44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</row>
    <row r="37" spans="1:30" s="43" customFormat="1" ht="12">
      <c r="A37" s="44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</row>
    <row r="38" spans="1:30" s="43" customFormat="1" ht="12">
      <c r="A38" s="44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</row>
    <row r="39" spans="1:30" s="43" customFormat="1" ht="12">
      <c r="A39" s="44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</row>
    <row r="40" spans="1:30" s="43" customFormat="1" ht="12">
      <c r="A40" s="44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</row>
    <row r="41" spans="1:30" s="43" customFormat="1" ht="12">
      <c r="A41" s="44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</row>
    <row r="42" spans="1:30" s="43" customFormat="1" ht="12">
      <c r="A42" s="44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</row>
    <row r="43" spans="2:30" ht="12.75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</row>
    <row r="44" spans="2:30" ht="12.7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</row>
    <row r="45" spans="2:30" ht="12.7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</row>
    <row r="46" spans="2:30" ht="12.75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</row>
    <row r="47" spans="2:30" ht="12.75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</row>
    <row r="48" spans="2:30" ht="12.7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</row>
    <row r="49" spans="2:30" ht="12.75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</row>
    <row r="50" spans="2:30" ht="12.75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</row>
    <row r="51" spans="2:30" ht="12.75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</row>
    <row r="52" spans="2:30" ht="12.75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</row>
    <row r="53" spans="2:30" ht="12.75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</row>
    <row r="54" spans="2:30" ht="12.75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</row>
    <row r="55" spans="2:30" ht="12.75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</row>
    <row r="56" spans="2:30" ht="12.75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</row>
    <row r="57" spans="2:30" ht="12.75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</row>
    <row r="58" spans="2:30" ht="12.75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</row>
    <row r="59" spans="2:30" ht="12.75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</row>
    <row r="60" spans="2:30" ht="12.75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</row>
    <row r="61" spans="2:30" ht="12.75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</row>
    <row r="62" spans="2:30" ht="12.75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</row>
    <row r="63" spans="2:30" ht="12.75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</row>
    <row r="64" spans="2:30" ht="12.75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</row>
    <row r="65" spans="2:30" ht="12.75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</row>
    <row r="66" spans="2:30" ht="12.75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</row>
    <row r="67" spans="2:30" ht="12.75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</row>
    <row r="68" spans="2:30" ht="12.75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</row>
    <row r="69" spans="2:30" ht="12.75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</row>
    <row r="70" spans="2:30" ht="12.75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</row>
    <row r="71" spans="2:30" ht="12.75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</row>
    <row r="72" spans="2:30" ht="12.75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</row>
    <row r="73" spans="2:30" ht="12.75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</row>
    <row r="74" spans="2:30" ht="12.75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</row>
    <row r="75" spans="2:30" ht="12.75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</row>
    <row r="76" spans="2:30" ht="12.75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</row>
    <row r="77" spans="2:30" ht="12.75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</row>
    <row r="78" spans="2:30" ht="12.75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</row>
    <row r="79" spans="2:30" ht="12.75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</row>
    <row r="80" spans="2:30" ht="12.75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</row>
    <row r="81" spans="2:30" ht="12.75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</row>
    <row r="82" spans="2:30" ht="12.75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</row>
    <row r="83" spans="2:30" ht="12.75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</row>
    <row r="84" spans="2:30" ht="12.75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</row>
    <row r="85" spans="2:30" ht="12.75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</row>
    <row r="86" spans="2:30" ht="12.75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</row>
    <row r="87" spans="2:30" ht="12.75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</row>
    <row r="88" spans="2:30" ht="12.75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</row>
    <row r="89" spans="2:30" ht="12.75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</row>
    <row r="90" spans="2:30" ht="12.75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</row>
    <row r="91" spans="2:30" ht="12.75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</row>
    <row r="92" spans="2:30" ht="12.75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</row>
    <row r="93" spans="2:30" ht="12.75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</row>
    <row r="94" spans="2:30" ht="12.75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</row>
    <row r="95" spans="2:30" ht="12.75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</row>
    <row r="96" spans="2:30" ht="12.75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</row>
    <row r="97" spans="2:30" ht="12.75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</row>
    <row r="98" spans="2:30" ht="12.75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</row>
    <row r="99" spans="2:30" ht="12.75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</row>
    <row r="100" spans="2:30" ht="12.75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</row>
    <row r="101" spans="2:30" ht="12.75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</row>
    <row r="102" spans="2:30" ht="12.75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</row>
    <row r="103" spans="2:30" ht="12.75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</row>
    <row r="104" spans="2:30" ht="12.75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</row>
    <row r="105" spans="2:30" ht="12.75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</row>
    <row r="106" spans="2:30" ht="12.75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</row>
    <row r="107" spans="2:30" ht="12.75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</row>
    <row r="108" spans="2:30" ht="12.75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</row>
    <row r="109" spans="2:30" ht="12.75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</row>
    <row r="110" spans="2:30" ht="12.75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</row>
    <row r="111" spans="2:30" ht="12.75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</row>
    <row r="112" spans="2:30" ht="12.75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</row>
    <row r="113" spans="2:30" ht="12.75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</row>
    <row r="114" spans="2:30" ht="12.75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</row>
    <row r="115" spans="2:30" ht="12.75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</row>
    <row r="116" spans="2:30" ht="12.75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</row>
    <row r="117" spans="2:30" ht="12.75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</row>
    <row r="118" spans="2:30" ht="12.75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</row>
    <row r="119" spans="2:30" ht="12.75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</row>
    <row r="120" spans="2:30" ht="12.75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</row>
    <row r="121" spans="2:30" ht="12.75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</row>
    <row r="122" spans="2:30" ht="12.75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</row>
    <row r="123" spans="2:30" ht="12.75"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</row>
    <row r="124" spans="2:30" ht="12.75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</row>
    <row r="125" spans="2:30" ht="12.75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</row>
    <row r="126" spans="2:30" ht="12.75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</row>
    <row r="127" spans="2:30" ht="12.75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</row>
    <row r="128" spans="2:30" ht="12.75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</row>
    <row r="129" spans="2:30" ht="12.75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</row>
    <row r="130" spans="2:30" ht="12.75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</row>
    <row r="131" spans="2:30" ht="12.75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</row>
    <row r="132" spans="2:30" ht="12.75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</row>
    <row r="133" spans="2:30" ht="12.75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</row>
    <row r="134" spans="2:30" ht="12.75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</row>
    <row r="135" spans="2:30" ht="12.75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</row>
    <row r="136" spans="2:30" ht="12.75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</row>
    <row r="137" spans="2:30" ht="12.75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</row>
    <row r="138" spans="2:30" ht="12.75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</row>
    <row r="139" spans="2:30" ht="12.75"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</row>
    <row r="140" spans="2:30" ht="12.75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</row>
    <row r="141" spans="2:30" ht="12.75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</row>
    <row r="142" spans="2:30" ht="12.75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</row>
    <row r="143" spans="2:30" ht="12.75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</row>
    <row r="144" spans="2:30" ht="12.75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</row>
    <row r="145" spans="2:30" ht="12.75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</row>
    <row r="146" spans="2:30" ht="12.75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</row>
    <row r="147" spans="2:30" ht="12.75"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</row>
    <row r="148" spans="2:30" ht="12.75"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</row>
    <row r="149" spans="2:30" ht="12.75"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</row>
    <row r="150" spans="2:30" ht="12.75"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</row>
    <row r="151" spans="2:30" ht="12.75"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</row>
    <row r="152" spans="2:30" ht="12.75"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</row>
    <row r="153" spans="2:30" ht="12.75"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</row>
    <row r="154" spans="2:30" ht="12.75"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</row>
    <row r="155" spans="2:30" ht="12.75"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</row>
    <row r="156" spans="2:30" ht="12.75"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</row>
    <row r="157" spans="2:30" ht="12.75"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</row>
    <row r="158" spans="2:30" ht="12.75"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</row>
    <row r="159" spans="2:30" ht="12.75"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</row>
    <row r="160" spans="2:30" ht="12.75"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</row>
    <row r="161" spans="2:30" ht="12.75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</row>
    <row r="162" spans="2:30" ht="12.75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</row>
    <row r="163" spans="2:30" ht="12.75"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</row>
    <row r="164" spans="2:30" ht="12.75"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</row>
    <row r="165" spans="2:30" ht="12.75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</row>
    <row r="166" spans="2:30" ht="12.75"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</row>
    <row r="167" spans="2:30" ht="12.75"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</row>
    <row r="168" spans="2:30" ht="12.75"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</row>
    <row r="169" spans="2:30" ht="12.75"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</row>
    <row r="170" spans="2:30" ht="12.75"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</row>
    <row r="171" spans="2:30" ht="12.75"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</row>
    <row r="172" spans="2:30" ht="12.75"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</row>
    <row r="173" spans="2:30" ht="12.75"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</row>
    <row r="174" spans="2:30" ht="12.75"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</row>
    <row r="175" spans="2:30" ht="12.75"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</row>
    <row r="176" spans="2:30" ht="12.75"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</row>
    <row r="177" spans="2:30" ht="12.75"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</row>
    <row r="178" spans="2:30" ht="12.75"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</row>
    <row r="179" spans="2:30" ht="12.75"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</row>
    <row r="180" spans="2:30" ht="12.75"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</row>
    <row r="181" spans="2:30" ht="12.75"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</row>
    <row r="182" spans="2:30" ht="12.75"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</row>
    <row r="183" spans="2:30" ht="12.75"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</row>
    <row r="184" spans="2:30" ht="12.75"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</row>
    <row r="185" spans="2:30" ht="12.75"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</row>
    <row r="186" spans="2:30" ht="12.75"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</row>
    <row r="187" spans="2:30" ht="12.75"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</row>
    <row r="188" spans="2:30" ht="12.75"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</row>
    <row r="189" spans="2:30" ht="12.75"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</row>
    <row r="190" spans="2:30" ht="12.75"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</row>
    <row r="191" spans="2:30" ht="12.75"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</row>
    <row r="192" spans="2:30" ht="12.75"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</row>
    <row r="193" spans="2:30" ht="12.75"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</row>
    <row r="194" spans="2:30" ht="12.75"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</row>
    <row r="195" spans="2:30" ht="12.75"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</row>
    <row r="196" spans="2:30" ht="12.75"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</row>
    <row r="197" spans="2:30" ht="12.75"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</row>
    <row r="198" spans="2:30" ht="12.75"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</row>
    <row r="199" spans="2:30" ht="12.75"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</row>
    <row r="200" spans="2:30" ht="12.75"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</row>
    <row r="201" spans="2:30" ht="12.75"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</row>
    <row r="202" spans="2:30" ht="12.75"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</row>
    <row r="203" spans="2:30" ht="12.75"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</row>
    <row r="204" spans="2:30" ht="12.75"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</row>
    <row r="205" spans="2:30" ht="12.75"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</row>
    <row r="206" spans="2:30" ht="12.75"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</row>
    <row r="207" spans="2:30" ht="12.75"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</row>
    <row r="208" spans="2:30" ht="12.75"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</row>
    <row r="209" spans="2:30" ht="12.75"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</row>
    <row r="210" spans="2:30" ht="12.75"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</row>
    <row r="211" spans="2:30" ht="12.75"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</row>
    <row r="212" spans="2:30" ht="12.75"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</row>
    <row r="213" spans="2:30" ht="12.75"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</row>
    <row r="214" spans="2:30" ht="12.75"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</row>
    <row r="215" spans="2:30" ht="12.75"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</row>
    <row r="216" spans="2:30" ht="12.75"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</row>
    <row r="217" spans="2:30" ht="12.75"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</row>
    <row r="218" spans="2:30" ht="12.75"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</row>
    <row r="219" spans="2:30" ht="12.75"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</row>
    <row r="220" spans="2:30" ht="12.75"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</row>
    <row r="221" spans="2:30" ht="12.75"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</row>
    <row r="222" spans="2:30" ht="12.75"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</row>
    <row r="223" spans="2:30" ht="12.75"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</row>
    <row r="224" spans="2:30" ht="12.75"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</row>
    <row r="225" spans="2:30" ht="12.75"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</row>
    <row r="226" spans="2:30" ht="12.75"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</row>
    <row r="227" spans="2:30" ht="12.75"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</row>
    <row r="228" spans="2:30" ht="12.75"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</row>
  </sheetData>
  <sheetProtection/>
  <printOptions/>
  <pageMargins left="0" right="0" top="0.75" bottom="0.75" header="0.3" footer="0.3"/>
  <pageSetup horizontalDpi="300" verticalDpi="3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49"/>
  <sheetViews>
    <sheetView zoomScalePageLayoutView="0" workbookViewId="0" topLeftCell="A1">
      <pane xSplit="2" ySplit="3" topLeftCell="C6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79" sqref="B79:B82"/>
    </sheetView>
  </sheetViews>
  <sheetFormatPr defaultColWidth="9.140625" defaultRowHeight="12.75"/>
  <cols>
    <col min="1" max="1" width="4.7109375" style="60" customWidth="1"/>
    <col min="2" max="2" width="25.00390625" style="60" customWidth="1"/>
    <col min="3" max="3" width="10.140625" style="60" customWidth="1"/>
    <col min="4" max="4" width="2.8515625" style="60" customWidth="1"/>
    <col min="5" max="10" width="9.140625" style="60" customWidth="1"/>
    <col min="11" max="11" width="10.28125" style="62" bestFit="1" customWidth="1"/>
    <col min="12" max="17" width="9.140625" style="60" customWidth="1"/>
    <col min="18" max="22" width="9.140625" style="86" customWidth="1"/>
    <col min="23" max="16384" width="9.140625" style="60" customWidth="1"/>
  </cols>
  <sheetData>
    <row r="1" spans="2:11" s="60" customFormat="1" ht="12.75">
      <c r="B1" s="61"/>
      <c r="K1" s="62"/>
    </row>
    <row r="2" spans="2:11" s="60" customFormat="1" ht="12.75">
      <c r="B2" s="61"/>
      <c r="K2" s="62"/>
    </row>
    <row r="3" spans="1:16" s="60" customFormat="1" ht="12.75">
      <c r="A3" s="60" t="s">
        <v>68</v>
      </c>
      <c r="C3" s="63" t="s">
        <v>96</v>
      </c>
      <c r="D3" s="63"/>
      <c r="E3" s="48" t="s">
        <v>86</v>
      </c>
      <c r="F3" s="48" t="s">
        <v>85</v>
      </c>
      <c r="G3" s="48" t="s">
        <v>84</v>
      </c>
      <c r="H3" s="48" t="s">
        <v>94</v>
      </c>
      <c r="I3" s="48" t="s">
        <v>90</v>
      </c>
      <c r="J3" s="48" t="s">
        <v>92</v>
      </c>
      <c r="K3" s="48" t="s">
        <v>95</v>
      </c>
      <c r="L3" s="48" t="s">
        <v>88</v>
      </c>
      <c r="M3" s="48" t="s">
        <v>89</v>
      </c>
      <c r="N3" s="48" t="s">
        <v>93</v>
      </c>
      <c r="O3" s="48" t="s">
        <v>91</v>
      </c>
      <c r="P3" s="48" t="s">
        <v>87</v>
      </c>
    </row>
    <row r="4" spans="2:16" s="60" customFormat="1" ht="12.75">
      <c r="B4" s="60" t="s">
        <v>29</v>
      </c>
      <c r="C4" s="64">
        <f aca="true" t="shared" si="0" ref="C4:C12">AVERAGE(E4:R4)</f>
        <v>37367.75</v>
      </c>
      <c r="D4" s="64"/>
      <c r="E4" s="65">
        <v>25114</v>
      </c>
      <c r="F4" s="65">
        <v>24350</v>
      </c>
      <c r="G4" s="65">
        <f>10318+2579+12897</f>
        <v>25794</v>
      </c>
      <c r="H4" s="65">
        <v>66124</v>
      </c>
      <c r="I4" s="65">
        <v>46078</v>
      </c>
      <c r="J4" s="65">
        <v>34250</v>
      </c>
      <c r="K4" s="65">
        <v>36312</v>
      </c>
      <c r="L4" s="65">
        <v>37515</v>
      </c>
      <c r="M4" s="65">
        <v>15300</v>
      </c>
      <c r="N4" s="65">
        <v>47178</v>
      </c>
      <c r="O4" s="65">
        <v>47330</v>
      </c>
      <c r="P4" s="65">
        <v>43068</v>
      </c>
    </row>
    <row r="5" spans="2:16" s="60" customFormat="1" ht="12.75">
      <c r="B5" s="60" t="s">
        <v>30</v>
      </c>
      <c r="C5" s="64">
        <f t="shared" si="0"/>
        <v>27560.833333333332</v>
      </c>
      <c r="D5" s="64"/>
      <c r="E5" s="65">
        <v>28678</v>
      </c>
      <c r="F5" s="65">
        <v>10184</v>
      </c>
      <c r="G5" s="65">
        <v>23541</v>
      </c>
      <c r="H5" s="65">
        <v>33169</v>
      </c>
      <c r="I5" s="65">
        <v>26032</v>
      </c>
      <c r="J5" s="65">
        <v>3418</v>
      </c>
      <c r="K5" s="65">
        <v>15094</v>
      </c>
      <c r="L5" s="65">
        <v>22462</v>
      </c>
      <c r="M5" s="65">
        <v>20864</v>
      </c>
      <c r="N5" s="65">
        <v>46573</v>
      </c>
      <c r="O5" s="65">
        <v>47397</v>
      </c>
      <c r="P5" s="65">
        <v>53318</v>
      </c>
    </row>
    <row r="6" spans="2:16" s="60" customFormat="1" ht="12.75">
      <c r="B6" s="60" t="s">
        <v>69</v>
      </c>
      <c r="C6" s="64">
        <f t="shared" si="0"/>
        <v>4596</v>
      </c>
      <c r="D6" s="64"/>
      <c r="E6" s="65">
        <v>14275</v>
      </c>
      <c r="F6" s="65"/>
      <c r="G6" s="65"/>
      <c r="H6" s="65">
        <v>1193</v>
      </c>
      <c r="I6" s="65">
        <v>53</v>
      </c>
      <c r="J6" s="65">
        <v>273</v>
      </c>
      <c r="K6" s="65">
        <v>127</v>
      </c>
      <c r="L6" s="65"/>
      <c r="M6" s="65">
        <v>349</v>
      </c>
      <c r="N6" s="65">
        <v>19632</v>
      </c>
      <c r="O6" s="65">
        <v>866</v>
      </c>
      <c r="P6" s="65"/>
    </row>
    <row r="7" spans="2:16" s="60" customFormat="1" ht="12.75">
      <c r="B7" s="60" t="s">
        <v>70</v>
      </c>
      <c r="C7" s="64">
        <f t="shared" si="0"/>
        <v>6556.25</v>
      </c>
      <c r="D7" s="64"/>
      <c r="E7" s="65">
        <v>10000</v>
      </c>
      <c r="F7" s="65"/>
      <c r="G7" s="65"/>
      <c r="H7" s="65"/>
      <c r="I7" s="65"/>
      <c r="J7" s="65"/>
      <c r="K7" s="65"/>
      <c r="L7" s="65">
        <v>3850</v>
      </c>
      <c r="M7" s="65">
        <f>500+775</f>
        <v>1275</v>
      </c>
      <c r="N7" s="65"/>
      <c r="O7" s="65"/>
      <c r="P7" s="65">
        <v>11100</v>
      </c>
    </row>
    <row r="8" spans="2:16" s="60" customFormat="1" ht="12.75">
      <c r="B8" s="60" t="s">
        <v>71</v>
      </c>
      <c r="C8" s="64">
        <f t="shared" si="0"/>
        <v>667</v>
      </c>
      <c r="D8" s="64"/>
      <c r="E8" s="65"/>
      <c r="F8" s="65"/>
      <c r="G8" s="65"/>
      <c r="H8" s="65"/>
      <c r="I8" s="65"/>
      <c r="J8" s="65"/>
      <c r="K8" s="65"/>
      <c r="L8" s="65"/>
      <c r="M8" s="65">
        <v>667</v>
      </c>
      <c r="N8" s="65"/>
      <c r="O8" s="65"/>
      <c r="P8" s="65"/>
    </row>
    <row r="9" spans="2:16" s="60" customFormat="1" ht="12.75">
      <c r="B9" s="60" t="s">
        <v>72</v>
      </c>
      <c r="C9" s="64">
        <f t="shared" si="0"/>
        <v>1000</v>
      </c>
      <c r="D9" s="64"/>
      <c r="E9" s="65"/>
      <c r="F9" s="65"/>
      <c r="G9" s="65"/>
      <c r="H9" s="65"/>
      <c r="I9" s="65"/>
      <c r="J9" s="65"/>
      <c r="K9" s="65"/>
      <c r="L9" s="65"/>
      <c r="M9" s="65"/>
      <c r="N9" s="65"/>
      <c r="O9" s="65">
        <v>1000</v>
      </c>
      <c r="P9" s="65"/>
    </row>
    <row r="10" spans="2:16" s="60" customFormat="1" ht="12.75">
      <c r="B10" s="60" t="s">
        <v>73</v>
      </c>
      <c r="C10" s="64">
        <f t="shared" si="0"/>
        <v>1965</v>
      </c>
      <c r="D10" s="64"/>
      <c r="E10" s="65">
        <v>1000</v>
      </c>
      <c r="F10" s="65">
        <v>850</v>
      </c>
      <c r="G10" s="65">
        <v>1200</v>
      </c>
      <c r="H10" s="65"/>
      <c r="I10" s="65"/>
      <c r="J10" s="65"/>
      <c r="K10" s="65"/>
      <c r="L10" s="65"/>
      <c r="M10" s="65">
        <v>2425</v>
      </c>
      <c r="N10" s="65"/>
      <c r="O10" s="65">
        <f>2600+1400+350</f>
        <v>4350</v>
      </c>
      <c r="P10" s="65"/>
    </row>
    <row r="11" spans="2:17" s="60" customFormat="1" ht="12.75">
      <c r="B11" s="60" t="s">
        <v>74</v>
      </c>
      <c r="C11" s="64">
        <f t="shared" si="0"/>
        <v>12602.363636363636</v>
      </c>
      <c r="D11" s="64"/>
      <c r="E11" s="65">
        <v>8000</v>
      </c>
      <c r="F11" s="65"/>
      <c r="G11" s="65">
        <v>1235</v>
      </c>
      <c r="H11" s="65">
        <v>4626</v>
      </c>
      <c r="I11" s="65">
        <v>7830</v>
      </c>
      <c r="J11" s="65">
        <v>542</v>
      </c>
      <c r="K11" s="65">
        <v>66544</v>
      </c>
      <c r="L11" s="65">
        <v>550</v>
      </c>
      <c r="M11" s="65">
        <v>2000</v>
      </c>
      <c r="N11" s="65">
        <v>7011</v>
      </c>
      <c r="O11" s="65">
        <v>140</v>
      </c>
      <c r="P11" s="66">
        <v>40148</v>
      </c>
      <c r="Q11" s="67"/>
    </row>
    <row r="12" spans="2:17" s="60" customFormat="1" ht="12.75">
      <c r="B12" s="62" t="s">
        <v>131</v>
      </c>
      <c r="C12" s="64">
        <f t="shared" si="0"/>
        <v>400</v>
      </c>
      <c r="D12" s="64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>
        <v>400</v>
      </c>
      <c r="P12" s="65"/>
      <c r="Q12" s="67"/>
    </row>
    <row r="13" spans="2:17" s="60" customFormat="1" ht="12.75">
      <c r="B13" s="68"/>
      <c r="C13" s="69"/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67"/>
    </row>
    <row r="14" spans="2:17" s="60" customFormat="1" ht="12.75">
      <c r="B14" s="60" t="s">
        <v>75</v>
      </c>
      <c r="C14" s="64">
        <f>SUM(C4:C13)</f>
        <v>92715.19696969696</v>
      </c>
      <c r="D14" s="64"/>
      <c r="E14" s="65">
        <f aca="true" t="shared" si="1" ref="E14:P14">SUM(E4:E13)</f>
        <v>87067</v>
      </c>
      <c r="F14" s="65">
        <f t="shared" si="1"/>
        <v>35384</v>
      </c>
      <c r="G14" s="65">
        <f t="shared" si="1"/>
        <v>51770</v>
      </c>
      <c r="H14" s="65">
        <f t="shared" si="1"/>
        <v>105112</v>
      </c>
      <c r="I14" s="65">
        <f t="shared" si="1"/>
        <v>79993</v>
      </c>
      <c r="J14" s="65">
        <f t="shared" si="1"/>
        <v>38483</v>
      </c>
      <c r="K14" s="65">
        <f t="shared" si="1"/>
        <v>118077</v>
      </c>
      <c r="L14" s="65">
        <f t="shared" si="1"/>
        <v>64377</v>
      </c>
      <c r="M14" s="65">
        <f t="shared" si="1"/>
        <v>42880</v>
      </c>
      <c r="N14" s="65">
        <f t="shared" si="1"/>
        <v>120394</v>
      </c>
      <c r="O14" s="65">
        <f t="shared" si="1"/>
        <v>101483</v>
      </c>
      <c r="P14" s="65">
        <f t="shared" si="1"/>
        <v>147634</v>
      </c>
      <c r="Q14" s="67"/>
    </row>
    <row r="15" spans="3:17" s="60" customFormat="1" ht="12.75">
      <c r="C15" s="64"/>
      <c r="D15" s="64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7"/>
    </row>
    <row r="16" spans="3:17" s="60" customFormat="1" ht="12.75">
      <c r="C16" s="64"/>
      <c r="D16" s="64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7"/>
    </row>
    <row r="17" spans="3:17" s="60" customFormat="1" ht="12.75">
      <c r="C17" s="64"/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7"/>
    </row>
    <row r="18" spans="3:17" s="60" customFormat="1" ht="12.75">
      <c r="C18" s="64"/>
      <c r="D18" s="64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7"/>
    </row>
    <row r="19" spans="1:17" s="60" customFormat="1" ht="12.75">
      <c r="A19" s="60" t="s">
        <v>76</v>
      </c>
      <c r="C19" s="64"/>
      <c r="D19" s="64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7"/>
    </row>
    <row r="20" spans="2:16" s="60" customFormat="1" ht="12.75">
      <c r="B20" s="60" t="s">
        <v>77</v>
      </c>
      <c r="C20" s="64">
        <f>AVERAGE(E20:R20)</f>
        <v>34939.729166666664</v>
      </c>
      <c r="D20" s="64"/>
      <c r="E20" s="65">
        <v>42000</v>
      </c>
      <c r="F20" s="65">
        <v>19372</v>
      </c>
      <c r="G20" s="65">
        <f>18996+4465+990+672</f>
        <v>25123</v>
      </c>
      <c r="H20" s="65">
        <v>46400</v>
      </c>
      <c r="I20" s="65">
        <v>34480</v>
      </c>
      <c r="J20" s="65">
        <v>17343.75</v>
      </c>
      <c r="K20" s="71">
        <v>26820</v>
      </c>
      <c r="L20" s="65">
        <f>22545+8498+832+1280</f>
        <v>33155</v>
      </c>
      <c r="M20" s="65">
        <v>16945</v>
      </c>
      <c r="N20" s="65">
        <f>39003+18987</f>
        <v>57990</v>
      </c>
      <c r="O20" s="65">
        <v>51924</v>
      </c>
      <c r="P20" s="65">
        <f>30118+7321+7321+2964</f>
        <v>47724</v>
      </c>
    </row>
    <row r="21" spans="2:16" s="67" customFormat="1" ht="12.75">
      <c r="B21" s="67" t="s">
        <v>78</v>
      </c>
      <c r="C21" s="64">
        <f>AVERAGE(E21:R21)</f>
        <v>8523.354166666666</v>
      </c>
      <c r="D21" s="64"/>
      <c r="E21" s="66">
        <v>5691</v>
      </c>
      <c r="F21" s="66">
        <v>1482</v>
      </c>
      <c r="G21" s="66">
        <f>1453+392+76</f>
        <v>1921</v>
      </c>
      <c r="H21" s="66">
        <f>3262+2665+20750+200</f>
        <v>26877</v>
      </c>
      <c r="I21" s="66">
        <f>963+2635</f>
        <v>3598</v>
      </c>
      <c r="J21" s="66">
        <v>1406.25</v>
      </c>
      <c r="K21" s="72">
        <v>2052</v>
      </c>
      <c r="L21" s="66">
        <f>1917+1314+723+495+103</f>
        <v>4552</v>
      </c>
      <c r="M21" s="66">
        <v>3000</v>
      </c>
      <c r="N21" s="66">
        <f>2536+4553</f>
        <v>7089</v>
      </c>
      <c r="O21" s="66">
        <v>22220</v>
      </c>
      <c r="P21" s="66">
        <f>70116-P20</f>
        <v>22392</v>
      </c>
    </row>
    <row r="22" spans="2:16" s="60" customFormat="1" ht="12.75">
      <c r="B22" s="73" t="s">
        <v>130</v>
      </c>
      <c r="C22" s="69">
        <f>AVERAGE(E22:R22)</f>
        <v>150</v>
      </c>
      <c r="D22" s="69"/>
      <c r="E22" s="70"/>
      <c r="F22" s="70"/>
      <c r="G22" s="70"/>
      <c r="H22" s="70">
        <v>150</v>
      </c>
      <c r="I22" s="70"/>
      <c r="J22" s="70"/>
      <c r="K22" s="74"/>
      <c r="L22" s="70"/>
      <c r="M22" s="70"/>
      <c r="N22" s="70"/>
      <c r="O22" s="70"/>
      <c r="P22" s="70"/>
    </row>
    <row r="23" spans="2:16" s="60" customFormat="1" ht="12.75">
      <c r="B23" s="62" t="s">
        <v>118</v>
      </c>
      <c r="C23" s="64">
        <f>SUM(C20:C22)</f>
        <v>43613.08333333333</v>
      </c>
      <c r="D23" s="64"/>
      <c r="E23" s="65">
        <f aca="true" t="shared" si="2" ref="E23:P23">SUM(E20:E21)</f>
        <v>47691</v>
      </c>
      <c r="F23" s="65">
        <f t="shared" si="2"/>
        <v>20854</v>
      </c>
      <c r="G23" s="65">
        <f t="shared" si="2"/>
        <v>27044</v>
      </c>
      <c r="H23" s="65">
        <f t="shared" si="2"/>
        <v>73277</v>
      </c>
      <c r="I23" s="65">
        <f t="shared" si="2"/>
        <v>38078</v>
      </c>
      <c r="J23" s="65">
        <f t="shared" si="2"/>
        <v>18750</v>
      </c>
      <c r="K23" s="65">
        <f t="shared" si="2"/>
        <v>28872</v>
      </c>
      <c r="L23" s="65">
        <f t="shared" si="2"/>
        <v>37707</v>
      </c>
      <c r="M23" s="65">
        <f t="shared" si="2"/>
        <v>19945</v>
      </c>
      <c r="N23" s="65">
        <f t="shared" si="2"/>
        <v>65079</v>
      </c>
      <c r="O23" s="65">
        <f t="shared" si="2"/>
        <v>74144</v>
      </c>
      <c r="P23" s="65">
        <f t="shared" si="2"/>
        <v>70116</v>
      </c>
    </row>
    <row r="24" spans="3:16" s="60" customFormat="1" ht="12.75">
      <c r="C24" s="64"/>
      <c r="D24" s="64"/>
      <c r="E24" s="65"/>
      <c r="F24" s="65"/>
      <c r="G24" s="65"/>
      <c r="H24" s="65"/>
      <c r="I24" s="65"/>
      <c r="J24" s="65"/>
      <c r="K24" s="71"/>
      <c r="L24" s="65"/>
      <c r="M24" s="65"/>
      <c r="N24" s="65"/>
      <c r="O24" s="65"/>
      <c r="P24" s="65"/>
    </row>
    <row r="25" spans="3:16" s="75" customFormat="1" ht="12.75">
      <c r="C25" s="64"/>
      <c r="D25" s="64"/>
      <c r="E25" s="76"/>
      <c r="F25" s="77"/>
      <c r="G25" s="76"/>
      <c r="H25" s="76"/>
      <c r="I25" s="76"/>
      <c r="J25" s="76"/>
      <c r="K25" s="76"/>
      <c r="L25" s="76"/>
      <c r="M25" s="76"/>
      <c r="N25" s="76"/>
      <c r="O25" s="76"/>
      <c r="P25" s="76"/>
    </row>
    <row r="26" spans="2:17" s="60" customFormat="1" ht="12.75">
      <c r="B26" s="60" t="s">
        <v>5</v>
      </c>
      <c r="C26" s="64">
        <f>AVERAGE(E26:R26)</f>
        <v>6790.557387429189</v>
      </c>
      <c r="D26" s="64"/>
      <c r="E26" s="65">
        <f>7489+200</f>
        <v>7689</v>
      </c>
      <c r="F26" s="78">
        <v>2202.743460356128</v>
      </c>
      <c r="G26" s="65">
        <v>5500</v>
      </c>
      <c r="H26" s="65">
        <v>3936</v>
      </c>
      <c r="I26" s="65">
        <v>9000</v>
      </c>
      <c r="J26" s="65">
        <v>5246</v>
      </c>
      <c r="K26" s="71">
        <v>6700</v>
      </c>
      <c r="L26" s="78">
        <v>7515.760686735108</v>
      </c>
      <c r="M26" s="79">
        <f>3554+250</f>
        <v>3804</v>
      </c>
      <c r="N26" s="79">
        <v>16168.136999013977</v>
      </c>
      <c r="O26" s="79">
        <v>6365.047503045067</v>
      </c>
      <c r="P26" s="65">
        <v>7360</v>
      </c>
      <c r="Q26" s="80"/>
    </row>
    <row r="27" spans="2:17" s="60" customFormat="1" ht="12.75">
      <c r="B27" s="60" t="s">
        <v>79</v>
      </c>
      <c r="C27" s="64">
        <f>AVERAGE(E27:R27)</f>
        <v>323.3783333333334</v>
      </c>
      <c r="D27" s="64"/>
      <c r="E27" s="81">
        <v>223.35</v>
      </c>
      <c r="F27" s="78">
        <v>110.15</v>
      </c>
      <c r="G27" s="79">
        <v>150</v>
      </c>
      <c r="H27" s="79">
        <v>904.3199999999999</v>
      </c>
      <c r="I27" s="79">
        <v>231.16</v>
      </c>
      <c r="J27" s="79">
        <v>195.49</v>
      </c>
      <c r="K27" s="79">
        <v>346.81</v>
      </c>
      <c r="L27" s="78">
        <v>233.33</v>
      </c>
      <c r="M27" s="79">
        <v>235.99</v>
      </c>
      <c r="N27" s="79">
        <v>372.8</v>
      </c>
      <c r="O27" s="79">
        <v>281.07</v>
      </c>
      <c r="P27" s="79">
        <v>596.0699999999999</v>
      </c>
      <c r="Q27" s="80"/>
    </row>
    <row r="28" spans="2:17" s="60" customFormat="1" ht="12.75">
      <c r="B28" s="62" t="s">
        <v>124</v>
      </c>
      <c r="C28" s="64">
        <f>AVERAGE(E28:R28)</f>
        <v>2250</v>
      </c>
      <c r="D28" s="64"/>
      <c r="E28" s="65">
        <v>550</v>
      </c>
      <c r="F28" s="78"/>
      <c r="G28" s="65">
        <v>2200</v>
      </c>
      <c r="H28" s="65">
        <f>1800+750</f>
        <v>2550</v>
      </c>
      <c r="I28" s="65">
        <v>3000</v>
      </c>
      <c r="J28" s="65">
        <v>1350</v>
      </c>
      <c r="K28" s="71">
        <v>3050</v>
      </c>
      <c r="L28" s="78"/>
      <c r="M28" s="79">
        <v>300</v>
      </c>
      <c r="N28" s="79"/>
      <c r="O28" s="79"/>
      <c r="P28" s="65">
        <v>5000</v>
      </c>
      <c r="Q28" s="80"/>
    </row>
    <row r="29" spans="2:17" s="60" customFormat="1" ht="12.75">
      <c r="B29" s="62" t="s">
        <v>103</v>
      </c>
      <c r="C29" s="64">
        <f>AVERAGE(E29:R29)</f>
        <v>1137.8179581617462</v>
      </c>
      <c r="D29" s="64"/>
      <c r="E29" s="65">
        <f>1011+1500</f>
        <v>2511</v>
      </c>
      <c r="F29" s="78">
        <v>297</v>
      </c>
      <c r="G29" s="65">
        <v>400</v>
      </c>
      <c r="H29" s="65">
        <v>950</v>
      </c>
      <c r="I29" s="65">
        <v>1600</v>
      </c>
      <c r="J29" s="65">
        <v>450</v>
      </c>
      <c r="K29" s="65">
        <v>700</v>
      </c>
      <c r="L29" s="78">
        <f>1014+861</f>
        <v>1875</v>
      </c>
      <c r="M29" s="79">
        <f>480+500</f>
        <v>980</v>
      </c>
      <c r="N29" s="79">
        <v>2181.8630009860217</v>
      </c>
      <c r="O29" s="79">
        <v>858.952496954933</v>
      </c>
      <c r="P29" s="65">
        <v>850</v>
      </c>
      <c r="Q29" s="80"/>
    </row>
    <row r="30" spans="2:16" s="60" customFormat="1" ht="12.75">
      <c r="B30" s="68" t="s">
        <v>80</v>
      </c>
      <c r="C30" s="69">
        <f>AVERAGE(E30:R30)</f>
        <v>300</v>
      </c>
      <c r="D30" s="69"/>
      <c r="E30" s="70"/>
      <c r="F30" s="82"/>
      <c r="G30" s="70">
        <v>300</v>
      </c>
      <c r="H30" s="70"/>
      <c r="I30" s="70"/>
      <c r="J30" s="70"/>
      <c r="K30" s="70"/>
      <c r="L30" s="82"/>
      <c r="M30" s="82"/>
      <c r="N30" s="82"/>
      <c r="O30" s="82"/>
      <c r="P30" s="70"/>
    </row>
    <row r="31" spans="2:16" s="60" customFormat="1" ht="12.75">
      <c r="B31" s="62" t="s">
        <v>119</v>
      </c>
      <c r="C31" s="64">
        <f>SUM(C26:C30)</f>
        <v>10801.753678924268</v>
      </c>
      <c r="D31" s="64"/>
      <c r="E31" s="65">
        <f aca="true" t="shared" si="3" ref="E31:P31">SUM(E26:E30)</f>
        <v>10973.35</v>
      </c>
      <c r="F31" s="65">
        <f t="shared" si="3"/>
        <v>2609.893460356128</v>
      </c>
      <c r="G31" s="65">
        <f t="shared" si="3"/>
        <v>8550</v>
      </c>
      <c r="H31" s="65">
        <f t="shared" si="3"/>
        <v>8340.32</v>
      </c>
      <c r="I31" s="65">
        <f t="shared" si="3"/>
        <v>13831.16</v>
      </c>
      <c r="J31" s="65">
        <f t="shared" si="3"/>
        <v>7241.49</v>
      </c>
      <c r="K31" s="65">
        <f t="shared" si="3"/>
        <v>10796.810000000001</v>
      </c>
      <c r="L31" s="65">
        <f t="shared" si="3"/>
        <v>9624.090686735108</v>
      </c>
      <c r="M31" s="65">
        <f t="shared" si="3"/>
        <v>5319.99</v>
      </c>
      <c r="N31" s="65">
        <f t="shared" si="3"/>
        <v>18722.8</v>
      </c>
      <c r="O31" s="65">
        <f t="shared" si="3"/>
        <v>7505.07</v>
      </c>
      <c r="P31" s="65">
        <f t="shared" si="3"/>
        <v>13806.07</v>
      </c>
    </row>
    <row r="32" spans="2:16" s="60" customFormat="1" ht="12.75">
      <c r="B32" s="62"/>
      <c r="C32" s="64"/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</row>
    <row r="33" spans="2:16" s="60" customFormat="1" ht="12.75">
      <c r="B33" s="62"/>
      <c r="C33" s="64"/>
      <c r="D33" s="64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</row>
    <row r="34" spans="2:16" s="60" customFormat="1" ht="12.75">
      <c r="B34" s="62" t="s">
        <v>104</v>
      </c>
      <c r="C34" s="64">
        <f>AVERAGE(E34:R34)</f>
        <v>1232</v>
      </c>
      <c r="D34" s="64"/>
      <c r="E34" s="65"/>
      <c r="F34" s="65">
        <v>138</v>
      </c>
      <c r="G34" s="65">
        <v>1800</v>
      </c>
      <c r="H34" s="65">
        <v>1500</v>
      </c>
      <c r="I34" s="65">
        <v>900</v>
      </c>
      <c r="J34" s="65"/>
      <c r="K34" s="71">
        <v>750</v>
      </c>
      <c r="L34" s="65"/>
      <c r="M34" s="65">
        <v>600</v>
      </c>
      <c r="N34" s="65">
        <v>1800</v>
      </c>
      <c r="O34" s="65">
        <v>600</v>
      </c>
      <c r="P34" s="65">
        <v>3000</v>
      </c>
    </row>
    <row r="35" spans="2:16" s="60" customFormat="1" ht="12.75">
      <c r="B35" s="62" t="s">
        <v>125</v>
      </c>
      <c r="C35" s="64">
        <f>AVERAGE(E35:R35)</f>
        <v>1938</v>
      </c>
      <c r="D35" s="64"/>
      <c r="E35" s="65"/>
      <c r="F35" s="65"/>
      <c r="G35" s="65"/>
      <c r="H35" s="65"/>
      <c r="I35" s="65"/>
      <c r="J35" s="65"/>
      <c r="K35" s="71"/>
      <c r="L35" s="65"/>
      <c r="M35" s="65"/>
      <c r="N35" s="65">
        <v>1938</v>
      </c>
      <c r="O35" s="65"/>
      <c r="P35" s="65"/>
    </row>
    <row r="36" spans="2:16" s="60" customFormat="1" ht="12.75">
      <c r="B36" s="62" t="s">
        <v>7</v>
      </c>
      <c r="C36" s="64">
        <f>AVERAGE(E36:R36)</f>
        <v>4377.666666666667</v>
      </c>
      <c r="D36" s="64"/>
      <c r="E36" s="65">
        <v>6000</v>
      </c>
      <c r="F36" s="65">
        <v>2000</v>
      </c>
      <c r="G36" s="65">
        <v>3050</v>
      </c>
      <c r="H36" s="65">
        <f>500+1900+2300</f>
        <v>4700</v>
      </c>
      <c r="I36" s="65">
        <v>3800</v>
      </c>
      <c r="J36" s="65">
        <v>3000</v>
      </c>
      <c r="K36" s="71">
        <v>2240</v>
      </c>
      <c r="L36" s="65">
        <v>4870</v>
      </c>
      <c r="M36" s="65">
        <v>3672</v>
      </c>
      <c r="N36" s="65">
        <v>6000</v>
      </c>
      <c r="O36" s="65">
        <f>2400+2800</f>
        <v>5200</v>
      </c>
      <c r="P36" s="65">
        <v>8000</v>
      </c>
    </row>
    <row r="37" spans="2:16" s="67" customFormat="1" ht="12.75">
      <c r="B37" s="73" t="s">
        <v>108</v>
      </c>
      <c r="C37" s="69">
        <f>AVERAGE(E37:R37)</f>
        <v>860.2222222222222</v>
      </c>
      <c r="D37" s="69"/>
      <c r="E37" s="70">
        <v>1000</v>
      </c>
      <c r="F37" s="70">
        <v>500</v>
      </c>
      <c r="G37" s="70">
        <v>1000</v>
      </c>
      <c r="H37" s="70">
        <v>900</v>
      </c>
      <c r="I37" s="70">
        <v>450</v>
      </c>
      <c r="J37" s="70"/>
      <c r="K37" s="70"/>
      <c r="L37" s="70">
        <v>1192</v>
      </c>
      <c r="M37" s="70">
        <v>600</v>
      </c>
      <c r="N37" s="70">
        <v>1200</v>
      </c>
      <c r="O37" s="70">
        <v>900</v>
      </c>
      <c r="P37" s="70"/>
    </row>
    <row r="38" spans="2:16" s="60" customFormat="1" ht="12.75">
      <c r="B38" s="62" t="s">
        <v>120</v>
      </c>
      <c r="C38" s="64">
        <f>SUM(C34:C37)</f>
        <v>8407.888888888889</v>
      </c>
      <c r="D38" s="64"/>
      <c r="E38" s="65">
        <f aca="true" t="shared" si="4" ref="E38:P38">SUM(E34:E37)</f>
        <v>7000</v>
      </c>
      <c r="F38" s="65">
        <f t="shared" si="4"/>
        <v>2638</v>
      </c>
      <c r="G38" s="65">
        <f t="shared" si="4"/>
        <v>5850</v>
      </c>
      <c r="H38" s="65">
        <f t="shared" si="4"/>
        <v>7100</v>
      </c>
      <c r="I38" s="65">
        <f t="shared" si="4"/>
        <v>5150</v>
      </c>
      <c r="J38" s="65">
        <f t="shared" si="4"/>
        <v>3000</v>
      </c>
      <c r="K38" s="65">
        <f t="shared" si="4"/>
        <v>2990</v>
      </c>
      <c r="L38" s="65">
        <f t="shared" si="4"/>
        <v>6062</v>
      </c>
      <c r="M38" s="65">
        <f t="shared" si="4"/>
        <v>4872</v>
      </c>
      <c r="N38" s="65">
        <f t="shared" si="4"/>
        <v>10938</v>
      </c>
      <c r="O38" s="65">
        <f t="shared" si="4"/>
        <v>6700</v>
      </c>
      <c r="P38" s="65">
        <f t="shared" si="4"/>
        <v>11000</v>
      </c>
    </row>
    <row r="39" spans="2:16" s="60" customFormat="1" ht="12.75">
      <c r="B39" s="62"/>
      <c r="C39" s="64"/>
      <c r="D39" s="64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</row>
    <row r="40" spans="2:16" s="60" customFormat="1" ht="12.75">
      <c r="B40" s="62"/>
      <c r="C40" s="64"/>
      <c r="D40" s="64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</row>
    <row r="41" spans="2:16" s="60" customFormat="1" ht="12.75">
      <c r="B41" s="62" t="s">
        <v>110</v>
      </c>
      <c r="C41" s="64">
        <f aca="true" t="shared" si="5" ref="C41:C46">AVERAGE(E41:R41)</f>
        <v>146</v>
      </c>
      <c r="D41" s="64"/>
      <c r="E41" s="65">
        <v>130</v>
      </c>
      <c r="F41" s="65">
        <v>25</v>
      </c>
      <c r="G41" s="65">
        <v>125</v>
      </c>
      <c r="H41" s="65"/>
      <c r="I41" s="65">
        <v>200</v>
      </c>
      <c r="J41" s="65"/>
      <c r="K41" s="65"/>
      <c r="L41" s="65"/>
      <c r="M41" s="65"/>
      <c r="N41" s="65"/>
      <c r="O41" s="65"/>
      <c r="P41" s="65">
        <v>250</v>
      </c>
    </row>
    <row r="42" spans="2:16" s="60" customFormat="1" ht="12.75">
      <c r="B42" s="62" t="s">
        <v>111</v>
      </c>
      <c r="C42" s="64">
        <f t="shared" si="5"/>
        <v>607.7777777777778</v>
      </c>
      <c r="D42" s="64"/>
      <c r="E42" s="65">
        <v>400</v>
      </c>
      <c r="F42" s="65">
        <v>320</v>
      </c>
      <c r="G42" s="65">
        <v>300</v>
      </c>
      <c r="H42" s="65">
        <v>500</v>
      </c>
      <c r="I42" s="65">
        <v>500</v>
      </c>
      <c r="J42" s="65">
        <v>350</v>
      </c>
      <c r="K42" s="65"/>
      <c r="L42" s="65"/>
      <c r="M42" s="65"/>
      <c r="N42" s="65">
        <v>2000</v>
      </c>
      <c r="O42" s="65">
        <v>300</v>
      </c>
      <c r="P42" s="65">
        <v>800</v>
      </c>
    </row>
    <row r="43" spans="2:16" s="60" customFormat="1" ht="12.75">
      <c r="B43" s="62" t="s">
        <v>129</v>
      </c>
      <c r="C43" s="64">
        <f t="shared" si="5"/>
        <v>170</v>
      </c>
      <c r="D43" s="64"/>
      <c r="E43" s="65"/>
      <c r="F43" s="65">
        <v>170</v>
      </c>
      <c r="G43" s="65"/>
      <c r="H43" s="65"/>
      <c r="I43" s="65"/>
      <c r="J43" s="65"/>
      <c r="K43" s="65"/>
      <c r="L43" s="65"/>
      <c r="M43" s="65"/>
      <c r="N43" s="65"/>
      <c r="O43" s="65"/>
      <c r="P43" s="65"/>
    </row>
    <row r="44" spans="2:16" s="60" customFormat="1" ht="12.75">
      <c r="B44" s="62" t="s">
        <v>132</v>
      </c>
      <c r="C44" s="64">
        <f t="shared" si="5"/>
        <v>510.8333333333333</v>
      </c>
      <c r="D44" s="64"/>
      <c r="E44" s="65"/>
      <c r="F44" s="65">
        <v>500</v>
      </c>
      <c r="G44" s="65">
        <v>200</v>
      </c>
      <c r="H44" s="65"/>
      <c r="I44" s="81">
        <v>1600</v>
      </c>
      <c r="J44" s="65"/>
      <c r="K44" s="65"/>
      <c r="L44" s="65">
        <v>150</v>
      </c>
      <c r="M44" s="65">
        <v>500</v>
      </c>
      <c r="N44" s="65"/>
      <c r="O44" s="65">
        <v>115</v>
      </c>
      <c r="P44" s="65"/>
    </row>
    <row r="45" spans="2:16" s="60" customFormat="1" ht="12.75">
      <c r="B45" s="62" t="s">
        <v>114</v>
      </c>
      <c r="C45" s="64">
        <f t="shared" si="5"/>
        <v>150</v>
      </c>
      <c r="D45" s="64"/>
      <c r="E45" s="65">
        <v>150</v>
      </c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</row>
    <row r="46" spans="2:16" s="60" customFormat="1" ht="12.75">
      <c r="B46" s="73" t="s">
        <v>115</v>
      </c>
      <c r="C46" s="69">
        <f t="shared" si="5"/>
        <v>500</v>
      </c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>
        <v>500</v>
      </c>
    </row>
    <row r="47" spans="2:16" s="60" customFormat="1" ht="12.75">
      <c r="B47" s="83" t="s">
        <v>121</v>
      </c>
      <c r="C47" s="64">
        <f>SUM(C41:C46)</f>
        <v>2084.6111111111113</v>
      </c>
      <c r="D47" s="64"/>
      <c r="E47" s="65">
        <f aca="true" t="shared" si="6" ref="E47:P47">SUM(E41:E46)</f>
        <v>680</v>
      </c>
      <c r="F47" s="65">
        <f t="shared" si="6"/>
        <v>1015</v>
      </c>
      <c r="G47" s="65">
        <f t="shared" si="6"/>
        <v>625</v>
      </c>
      <c r="H47" s="65">
        <f t="shared" si="6"/>
        <v>500</v>
      </c>
      <c r="I47" s="65">
        <f t="shared" si="6"/>
        <v>2300</v>
      </c>
      <c r="J47" s="65">
        <f t="shared" si="6"/>
        <v>350</v>
      </c>
      <c r="K47" s="65">
        <f t="shared" si="6"/>
        <v>0</v>
      </c>
      <c r="L47" s="65">
        <f t="shared" si="6"/>
        <v>150</v>
      </c>
      <c r="M47" s="65">
        <f t="shared" si="6"/>
        <v>500</v>
      </c>
      <c r="N47" s="65">
        <f t="shared" si="6"/>
        <v>2000</v>
      </c>
      <c r="O47" s="65">
        <f t="shared" si="6"/>
        <v>415</v>
      </c>
      <c r="P47" s="65">
        <f t="shared" si="6"/>
        <v>1550</v>
      </c>
    </row>
    <row r="48" spans="2:16" s="60" customFormat="1" ht="12.75">
      <c r="B48" s="62"/>
      <c r="C48" s="64"/>
      <c r="D48" s="64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</row>
    <row r="49" spans="2:16" s="60" customFormat="1" ht="12.75">
      <c r="B49" s="62"/>
      <c r="C49" s="64"/>
      <c r="D49" s="64"/>
      <c r="E49" s="65"/>
      <c r="F49" s="65"/>
      <c r="G49" s="65"/>
      <c r="H49" s="84"/>
      <c r="I49" s="65"/>
      <c r="J49" s="65"/>
      <c r="K49" s="65"/>
      <c r="L49" s="65"/>
      <c r="M49" s="65"/>
      <c r="N49" s="65"/>
      <c r="O49" s="65"/>
      <c r="P49" s="65"/>
    </row>
    <row r="50" spans="2:16" s="60" customFormat="1" ht="12.75">
      <c r="B50" s="62" t="s">
        <v>105</v>
      </c>
      <c r="C50" s="64">
        <f aca="true" t="shared" si="7" ref="C50:C66">AVERAGE(E50:R50)</f>
        <v>1108.3333333333333</v>
      </c>
      <c r="D50" s="64"/>
      <c r="E50" s="65">
        <v>500</v>
      </c>
      <c r="F50" s="65">
        <v>610</v>
      </c>
      <c r="G50" s="65"/>
      <c r="H50" s="65">
        <v>1000</v>
      </c>
      <c r="I50" s="65"/>
      <c r="J50" s="65"/>
      <c r="K50" s="71">
        <v>800</v>
      </c>
      <c r="L50" s="65"/>
      <c r="M50" s="65">
        <v>1940</v>
      </c>
      <c r="N50" s="65">
        <v>1800</v>
      </c>
      <c r="O50" s="65"/>
      <c r="P50" s="65" t="s">
        <v>117</v>
      </c>
    </row>
    <row r="51" spans="2:16" s="60" customFormat="1" ht="12.75">
      <c r="B51" s="60" t="s">
        <v>81</v>
      </c>
      <c r="C51" s="64">
        <f t="shared" si="7"/>
        <v>1138.3333333333333</v>
      </c>
      <c r="D51" s="64"/>
      <c r="E51" s="65">
        <v>1000</v>
      </c>
      <c r="F51" s="65">
        <v>150</v>
      </c>
      <c r="G51" s="65"/>
      <c r="H51" s="65"/>
      <c r="I51" s="65"/>
      <c r="J51" s="65">
        <v>600</v>
      </c>
      <c r="K51" s="65"/>
      <c r="L51" s="65">
        <v>920</v>
      </c>
      <c r="M51" s="65"/>
      <c r="N51" s="65"/>
      <c r="O51" s="65">
        <v>1400</v>
      </c>
      <c r="P51" s="65">
        <v>2760</v>
      </c>
    </row>
    <row r="52" spans="2:16" s="60" customFormat="1" ht="12.75">
      <c r="B52" s="62" t="s">
        <v>101</v>
      </c>
      <c r="C52" s="64">
        <f t="shared" si="7"/>
        <v>100</v>
      </c>
      <c r="D52" s="64"/>
      <c r="E52" s="65">
        <v>100</v>
      </c>
      <c r="F52" s="65"/>
      <c r="G52" s="65"/>
      <c r="H52" s="65">
        <v>100</v>
      </c>
      <c r="I52" s="65"/>
      <c r="J52" s="65"/>
      <c r="K52" s="71">
        <v>100</v>
      </c>
      <c r="L52" s="65"/>
      <c r="M52" s="65"/>
      <c r="N52" s="65"/>
      <c r="O52" s="65"/>
      <c r="P52" s="65"/>
    </row>
    <row r="53" spans="2:16" s="60" customFormat="1" ht="12.75">
      <c r="B53" s="62" t="s">
        <v>107</v>
      </c>
      <c r="C53" s="64">
        <f t="shared" si="7"/>
        <v>519.375</v>
      </c>
      <c r="D53" s="64"/>
      <c r="E53" s="65">
        <v>900</v>
      </c>
      <c r="F53" s="65">
        <v>200</v>
      </c>
      <c r="G53" s="65">
        <v>500</v>
      </c>
      <c r="H53" s="65"/>
      <c r="I53" s="65"/>
      <c r="J53" s="65"/>
      <c r="K53" s="71">
        <v>200</v>
      </c>
      <c r="L53" s="65">
        <v>530</v>
      </c>
      <c r="M53" s="65">
        <v>175</v>
      </c>
      <c r="N53" s="65"/>
      <c r="O53" s="65">
        <v>1000</v>
      </c>
      <c r="P53" s="65">
        <v>650</v>
      </c>
    </row>
    <row r="54" spans="2:16" s="60" customFormat="1" ht="12.75">
      <c r="B54" s="62" t="s">
        <v>9</v>
      </c>
      <c r="C54" s="64">
        <f t="shared" si="7"/>
        <v>656.125</v>
      </c>
      <c r="D54" s="64"/>
      <c r="E54" s="65"/>
      <c r="F54" s="65"/>
      <c r="G54" s="65">
        <v>500</v>
      </c>
      <c r="H54" s="65">
        <f>700+80</f>
        <v>780</v>
      </c>
      <c r="I54" s="65">
        <v>1200</v>
      </c>
      <c r="J54" s="65">
        <v>165</v>
      </c>
      <c r="K54" s="71">
        <v>300</v>
      </c>
      <c r="L54" s="65">
        <v>1000</v>
      </c>
      <c r="M54" s="65">
        <v>650</v>
      </c>
      <c r="N54" s="65"/>
      <c r="O54" s="65">
        <v>654</v>
      </c>
      <c r="P54" s="65"/>
    </row>
    <row r="55" spans="2:16" s="60" customFormat="1" ht="12.75">
      <c r="B55" s="62" t="s">
        <v>112</v>
      </c>
      <c r="C55" s="64">
        <f t="shared" si="7"/>
        <v>50</v>
      </c>
      <c r="D55" s="64"/>
      <c r="E55" s="65">
        <v>50</v>
      </c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</row>
    <row r="56" spans="2:16" s="60" customFormat="1" ht="12.75">
      <c r="B56" s="62" t="s">
        <v>113</v>
      </c>
      <c r="C56" s="64">
        <f t="shared" si="7"/>
        <v>375.75</v>
      </c>
      <c r="D56" s="64"/>
      <c r="E56" s="65">
        <v>360</v>
      </c>
      <c r="F56" s="65"/>
      <c r="G56" s="65"/>
      <c r="H56" s="65">
        <v>500</v>
      </c>
      <c r="I56" s="65"/>
      <c r="J56" s="65">
        <v>456</v>
      </c>
      <c r="K56" s="65"/>
      <c r="L56" s="65"/>
      <c r="M56" s="65"/>
      <c r="N56" s="65"/>
      <c r="O56" s="65">
        <v>187</v>
      </c>
      <c r="P56" s="65"/>
    </row>
    <row r="57" spans="2:16" s="60" customFormat="1" ht="12.75">
      <c r="B57" s="62" t="s">
        <v>106</v>
      </c>
      <c r="C57" s="64">
        <f t="shared" si="7"/>
        <v>444.55555555555554</v>
      </c>
      <c r="D57" s="64"/>
      <c r="E57" s="65">
        <v>300</v>
      </c>
      <c r="F57" s="65">
        <v>300</v>
      </c>
      <c r="G57" s="65">
        <v>150</v>
      </c>
      <c r="H57" s="65">
        <v>750</v>
      </c>
      <c r="I57" s="65">
        <v>900</v>
      </c>
      <c r="J57" s="65">
        <v>501</v>
      </c>
      <c r="K57" s="71">
        <v>400</v>
      </c>
      <c r="L57" s="65">
        <v>200</v>
      </c>
      <c r="M57" s="65"/>
      <c r="N57" s="65">
        <v>500</v>
      </c>
      <c r="O57" s="65"/>
      <c r="P57" s="65"/>
    </row>
    <row r="58" spans="2:16" s="60" customFormat="1" ht="12.75">
      <c r="B58" s="62" t="s">
        <v>8</v>
      </c>
      <c r="C58" s="64">
        <f t="shared" si="7"/>
        <v>292.57142857142856</v>
      </c>
      <c r="D58" s="64"/>
      <c r="E58" s="65"/>
      <c r="F58" s="65">
        <v>250</v>
      </c>
      <c r="G58" s="65">
        <v>350</v>
      </c>
      <c r="H58" s="65"/>
      <c r="I58" s="65"/>
      <c r="J58" s="65"/>
      <c r="K58" s="71">
        <v>283</v>
      </c>
      <c r="L58" s="65">
        <v>565</v>
      </c>
      <c r="M58" s="65">
        <v>150</v>
      </c>
      <c r="N58" s="65">
        <v>250</v>
      </c>
      <c r="O58" s="65"/>
      <c r="P58" s="65">
        <v>200</v>
      </c>
    </row>
    <row r="59" spans="2:16" s="60" customFormat="1" ht="12.75">
      <c r="B59" s="62" t="s">
        <v>127</v>
      </c>
      <c r="C59" s="64">
        <f t="shared" si="7"/>
        <v>35</v>
      </c>
      <c r="D59" s="64"/>
      <c r="E59" s="65"/>
      <c r="F59" s="65"/>
      <c r="G59" s="65"/>
      <c r="H59" s="65"/>
      <c r="I59" s="65"/>
      <c r="J59" s="65"/>
      <c r="K59" s="71"/>
      <c r="L59" s="65"/>
      <c r="M59" s="65"/>
      <c r="N59" s="65">
        <v>35</v>
      </c>
      <c r="O59" s="65"/>
      <c r="P59" s="65"/>
    </row>
    <row r="60" spans="2:16" s="60" customFormat="1" ht="12.75">
      <c r="B60" s="60" t="s">
        <v>82</v>
      </c>
      <c r="C60" s="64">
        <f t="shared" si="7"/>
        <v>7122.333333333333</v>
      </c>
      <c r="D60" s="64"/>
      <c r="E60" s="65">
        <v>7200</v>
      </c>
      <c r="F60" s="65">
        <v>6800</v>
      </c>
      <c r="G60" s="65">
        <v>6800</v>
      </c>
      <c r="H60" s="65">
        <v>7300</v>
      </c>
      <c r="I60" s="65">
        <v>6800</v>
      </c>
      <c r="J60" s="65">
        <v>6800</v>
      </c>
      <c r="K60" s="71">
        <v>6800</v>
      </c>
      <c r="L60" s="65">
        <v>7200</v>
      </c>
      <c r="M60" s="65">
        <v>6800</v>
      </c>
      <c r="N60" s="65">
        <v>8329</v>
      </c>
      <c r="O60" s="65">
        <v>7139</v>
      </c>
      <c r="P60" s="65">
        <v>7500</v>
      </c>
    </row>
    <row r="61" spans="2:16" s="60" customFormat="1" ht="12.75">
      <c r="B61" s="62" t="s">
        <v>109</v>
      </c>
      <c r="C61" s="64">
        <f t="shared" si="7"/>
        <v>1750</v>
      </c>
      <c r="D61" s="64"/>
      <c r="E61" s="65">
        <v>1500</v>
      </c>
      <c r="F61" s="65"/>
      <c r="G61" s="65"/>
      <c r="H61" s="65"/>
      <c r="I61" s="65">
        <v>2000</v>
      </c>
      <c r="J61" s="65"/>
      <c r="K61" s="65"/>
      <c r="L61" s="65"/>
      <c r="M61" s="65"/>
      <c r="N61" s="65"/>
      <c r="O61" s="65"/>
      <c r="P61" s="65"/>
    </row>
    <row r="62" spans="2:16" s="60" customFormat="1" ht="12.75">
      <c r="B62" s="60" t="s">
        <v>83</v>
      </c>
      <c r="C62" s="64">
        <f t="shared" si="7"/>
        <v>500</v>
      </c>
      <c r="D62" s="64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>
        <v>500</v>
      </c>
    </row>
    <row r="63" spans="2:16" s="60" customFormat="1" ht="12.75">
      <c r="B63" s="62" t="s">
        <v>102</v>
      </c>
      <c r="C63" s="64">
        <f t="shared" si="7"/>
        <v>200</v>
      </c>
      <c r="D63" s="64"/>
      <c r="E63" s="65"/>
      <c r="F63" s="65"/>
      <c r="G63" s="65"/>
      <c r="H63" s="65"/>
      <c r="I63" s="65"/>
      <c r="J63" s="65"/>
      <c r="K63" s="71">
        <v>200</v>
      </c>
      <c r="L63" s="65"/>
      <c r="M63" s="65"/>
      <c r="N63" s="65"/>
      <c r="O63" s="65"/>
      <c r="P63" s="65"/>
    </row>
    <row r="64" spans="2:16" s="60" customFormat="1" ht="12.75">
      <c r="B64" s="62" t="s">
        <v>116</v>
      </c>
      <c r="C64" s="64">
        <f t="shared" si="7"/>
        <v>100</v>
      </c>
      <c r="D64" s="64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>
        <v>100</v>
      </c>
    </row>
    <row r="65" spans="2:16" s="60" customFormat="1" ht="12.75">
      <c r="B65" s="62" t="s">
        <v>128</v>
      </c>
      <c r="C65" s="64">
        <f t="shared" si="7"/>
        <v>1100</v>
      </c>
      <c r="D65" s="64"/>
      <c r="E65" s="65"/>
      <c r="F65" s="65"/>
      <c r="G65" s="65"/>
      <c r="H65" s="65"/>
      <c r="I65" s="65"/>
      <c r="J65" s="65"/>
      <c r="K65" s="65"/>
      <c r="L65" s="65"/>
      <c r="M65" s="65"/>
      <c r="N65" s="66">
        <v>1100</v>
      </c>
      <c r="O65" s="65"/>
      <c r="P65" s="65"/>
    </row>
    <row r="66" spans="2:16" s="60" customFormat="1" ht="12.75">
      <c r="B66" s="73" t="s">
        <v>133</v>
      </c>
      <c r="C66" s="69">
        <f t="shared" si="7"/>
        <v>676.75</v>
      </c>
      <c r="D66" s="69"/>
      <c r="E66" s="70"/>
      <c r="F66" s="70">
        <v>67</v>
      </c>
      <c r="G66" s="70">
        <v>350</v>
      </c>
      <c r="H66" s="70">
        <v>400</v>
      </c>
      <c r="I66" s="70">
        <v>2082</v>
      </c>
      <c r="J66" s="70"/>
      <c r="K66" s="70"/>
      <c r="L66" s="70">
        <v>100</v>
      </c>
      <c r="M66" s="70">
        <v>415</v>
      </c>
      <c r="N66" s="70">
        <v>1500</v>
      </c>
      <c r="O66" s="70">
        <v>500</v>
      </c>
      <c r="P66" s="70"/>
    </row>
    <row r="67" spans="2:16" s="60" customFormat="1" ht="12.75">
      <c r="B67" s="62" t="s">
        <v>122</v>
      </c>
      <c r="C67" s="64">
        <f>SUM(C50:C66)</f>
        <v>16169.126984126982</v>
      </c>
      <c r="D67" s="64"/>
      <c r="E67" s="85">
        <f aca="true" t="shared" si="8" ref="E67:P67">SUM(E50:E66)</f>
        <v>11910</v>
      </c>
      <c r="F67" s="85">
        <f t="shared" si="8"/>
        <v>8377</v>
      </c>
      <c r="G67" s="85">
        <f t="shared" si="8"/>
        <v>8650</v>
      </c>
      <c r="H67" s="85">
        <f t="shared" si="8"/>
        <v>10830</v>
      </c>
      <c r="I67" s="85">
        <f t="shared" si="8"/>
        <v>12982</v>
      </c>
      <c r="J67" s="85">
        <f t="shared" si="8"/>
        <v>8522</v>
      </c>
      <c r="K67" s="85">
        <f t="shared" si="8"/>
        <v>9083</v>
      </c>
      <c r="L67" s="85">
        <f t="shared" si="8"/>
        <v>10515</v>
      </c>
      <c r="M67" s="85">
        <f t="shared" si="8"/>
        <v>10130</v>
      </c>
      <c r="N67" s="85">
        <f t="shared" si="8"/>
        <v>13514</v>
      </c>
      <c r="O67" s="85">
        <f t="shared" si="8"/>
        <v>10880</v>
      </c>
      <c r="P67" s="85">
        <f t="shared" si="8"/>
        <v>11710</v>
      </c>
    </row>
    <row r="68" spans="2:16" s="60" customFormat="1" ht="12.75">
      <c r="B68" s="62"/>
      <c r="C68" s="64"/>
      <c r="D68" s="64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</row>
    <row r="69" spans="3:11" s="60" customFormat="1" ht="12.75">
      <c r="C69" s="64"/>
      <c r="D69" s="64"/>
      <c r="K69" s="62"/>
    </row>
    <row r="70" spans="2:16" s="60" customFormat="1" ht="12.75">
      <c r="B70" s="62" t="s">
        <v>126</v>
      </c>
      <c r="C70" s="85">
        <f>C67+C47+C38+C31+C23</f>
        <v>81076.46399638458</v>
      </c>
      <c r="D70" s="85"/>
      <c r="E70" s="85">
        <f aca="true" t="shared" si="9" ref="E70:P70">E67+E47+E38+E31+E23</f>
        <v>78254.35</v>
      </c>
      <c r="F70" s="85">
        <f t="shared" si="9"/>
        <v>35493.89346035613</v>
      </c>
      <c r="G70" s="85">
        <f t="shared" si="9"/>
        <v>50719</v>
      </c>
      <c r="H70" s="85">
        <f t="shared" si="9"/>
        <v>100047.32</v>
      </c>
      <c r="I70" s="85">
        <f t="shared" si="9"/>
        <v>72341.16</v>
      </c>
      <c r="J70" s="85">
        <f t="shared" si="9"/>
        <v>37863.49</v>
      </c>
      <c r="K70" s="85">
        <f t="shared" si="9"/>
        <v>51741.81</v>
      </c>
      <c r="L70" s="85">
        <f t="shared" si="9"/>
        <v>64058.09068673511</v>
      </c>
      <c r="M70" s="85">
        <f t="shared" si="9"/>
        <v>40766.99</v>
      </c>
      <c r="N70" s="85">
        <f t="shared" si="9"/>
        <v>110253.8</v>
      </c>
      <c r="O70" s="85">
        <f t="shared" si="9"/>
        <v>99644.07</v>
      </c>
      <c r="P70" s="85">
        <f t="shared" si="9"/>
        <v>108182.07</v>
      </c>
    </row>
    <row r="71" spans="3:16" s="60" customFormat="1" ht="12.75">
      <c r="C71" s="64"/>
      <c r="D71" s="64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</row>
    <row r="72" spans="2:14" s="60" customFormat="1" ht="12.75">
      <c r="B72" s="60" t="s">
        <v>10</v>
      </c>
      <c r="C72" s="64">
        <f>AVERAGE(E72:R72)</f>
        <v>2000</v>
      </c>
      <c r="D72" s="64"/>
      <c r="G72" s="60">
        <v>1000</v>
      </c>
      <c r="K72" s="62"/>
      <c r="N72" s="65">
        <v>3000</v>
      </c>
    </row>
    <row r="73" spans="3:11" s="60" customFormat="1" ht="12.75">
      <c r="C73" s="64"/>
      <c r="D73" s="64"/>
      <c r="K73" s="62"/>
    </row>
    <row r="74" spans="2:16" s="60" customFormat="1" ht="12.75">
      <c r="B74" s="60" t="s">
        <v>123</v>
      </c>
      <c r="C74" s="64">
        <f>SUM(C70:C73)</f>
        <v>83076.46399638458</v>
      </c>
      <c r="D74" s="64"/>
      <c r="E74" s="65">
        <f aca="true" t="shared" si="10" ref="E74:P74">SUM(E70:E73)</f>
        <v>78254.35</v>
      </c>
      <c r="F74" s="65">
        <f t="shared" si="10"/>
        <v>35493.89346035613</v>
      </c>
      <c r="G74" s="65">
        <f t="shared" si="10"/>
        <v>51719</v>
      </c>
      <c r="H74" s="65">
        <f t="shared" si="10"/>
        <v>100047.32</v>
      </c>
      <c r="I74" s="65">
        <f t="shared" si="10"/>
        <v>72341.16</v>
      </c>
      <c r="J74" s="65">
        <f t="shared" si="10"/>
        <v>37863.49</v>
      </c>
      <c r="K74" s="65">
        <f t="shared" si="10"/>
        <v>51741.81</v>
      </c>
      <c r="L74" s="65">
        <f t="shared" si="10"/>
        <v>64058.09068673511</v>
      </c>
      <c r="M74" s="65">
        <f t="shared" si="10"/>
        <v>40766.99</v>
      </c>
      <c r="N74" s="65">
        <f t="shared" si="10"/>
        <v>113253.8</v>
      </c>
      <c r="O74" s="65">
        <f t="shared" si="10"/>
        <v>99644.07</v>
      </c>
      <c r="P74" s="65">
        <f t="shared" si="10"/>
        <v>108182.07</v>
      </c>
    </row>
    <row r="76" spans="3:16" s="60" customFormat="1" ht="12.75">
      <c r="C76" s="64"/>
      <c r="D76" s="64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</row>
    <row r="78" s="60" customFormat="1" ht="12.75">
      <c r="K78" s="62"/>
    </row>
    <row r="79" s="60" customFormat="1" ht="12.75"/>
    <row r="80" s="60" customFormat="1" ht="12.75"/>
    <row r="81" s="60" customFormat="1" ht="12.75"/>
    <row r="82" s="60" customFormat="1" ht="12.75"/>
    <row r="83" s="60" customFormat="1" ht="12.75"/>
    <row r="84" s="60" customFormat="1" ht="12.75"/>
    <row r="85" s="60" customFormat="1" ht="12.75"/>
    <row r="86" s="60" customFormat="1" ht="12.75"/>
    <row r="87" spans="10:17" s="60" customFormat="1" ht="12.75">
      <c r="J87" s="65"/>
      <c r="K87" s="65"/>
      <c r="L87" s="65"/>
      <c r="M87" s="65"/>
      <c r="N87" s="65"/>
      <c r="O87" s="65"/>
      <c r="P87" s="65"/>
      <c r="Q87" s="64"/>
    </row>
    <row r="88" s="60" customFormat="1" ht="12.75"/>
    <row r="89" s="60" customFormat="1" ht="12.75"/>
    <row r="90" s="60" customFormat="1" ht="12.75"/>
    <row r="91" spans="3:13" s="60" customFormat="1" ht="12.75">
      <c r="C91" s="64"/>
      <c r="D91" s="64"/>
      <c r="E91" s="65"/>
      <c r="F91" s="65"/>
      <c r="H91" s="65"/>
      <c r="I91" s="65"/>
      <c r="J91" s="65"/>
      <c r="K91" s="65"/>
      <c r="L91" s="65"/>
      <c r="M91" s="65"/>
    </row>
    <row r="92" spans="3:13" s="60" customFormat="1" ht="12.75">
      <c r="C92" s="64"/>
      <c r="D92" s="64"/>
      <c r="E92" s="65"/>
      <c r="F92" s="65"/>
      <c r="H92" s="65"/>
      <c r="I92" s="65"/>
      <c r="J92" s="65"/>
      <c r="K92" s="65"/>
      <c r="L92" s="65"/>
      <c r="M92" s="65"/>
    </row>
    <row r="93" spans="3:13" s="60" customFormat="1" ht="12.75">
      <c r="C93" s="64"/>
      <c r="D93" s="64"/>
      <c r="E93" s="65"/>
      <c r="F93" s="65"/>
      <c r="H93" s="65"/>
      <c r="I93" s="65"/>
      <c r="J93" s="65"/>
      <c r="K93" s="65"/>
      <c r="L93" s="65"/>
      <c r="M93" s="65"/>
    </row>
    <row r="94" spans="3:13" s="60" customFormat="1" ht="12.75">
      <c r="C94" s="64"/>
      <c r="D94" s="64"/>
      <c r="E94" s="65"/>
      <c r="F94" s="65"/>
      <c r="G94" s="65"/>
      <c r="H94" s="65"/>
      <c r="I94" s="65"/>
      <c r="J94" s="65"/>
      <c r="K94" s="65"/>
      <c r="L94" s="65"/>
      <c r="M94" s="65"/>
    </row>
    <row r="95" spans="3:13" s="60" customFormat="1" ht="12.75">
      <c r="C95" s="64"/>
      <c r="D95" s="64"/>
      <c r="E95" s="65"/>
      <c r="F95" s="65"/>
      <c r="G95" s="65"/>
      <c r="H95" s="65"/>
      <c r="I95" s="65"/>
      <c r="J95" s="65"/>
      <c r="K95" s="65"/>
      <c r="L95" s="65"/>
      <c r="M95" s="65"/>
    </row>
    <row r="96" spans="3:13" s="60" customFormat="1" ht="12.75">
      <c r="C96" s="64"/>
      <c r="D96" s="64"/>
      <c r="E96" s="65"/>
      <c r="F96" s="65"/>
      <c r="G96" s="65"/>
      <c r="H96" s="65"/>
      <c r="I96" s="65"/>
      <c r="J96" s="65"/>
      <c r="K96" s="65"/>
      <c r="L96" s="65"/>
      <c r="M96" s="65"/>
    </row>
    <row r="97" spans="3:13" s="60" customFormat="1" ht="12.75">
      <c r="C97" s="64"/>
      <c r="D97" s="64"/>
      <c r="E97" s="65"/>
      <c r="F97" s="65"/>
      <c r="G97" s="65"/>
      <c r="H97" s="65"/>
      <c r="I97" s="65"/>
      <c r="J97" s="65"/>
      <c r="K97" s="65"/>
      <c r="L97" s="65"/>
      <c r="M97" s="65"/>
    </row>
    <row r="98" spans="3:13" s="60" customFormat="1" ht="12.75">
      <c r="C98" s="64"/>
      <c r="D98" s="64"/>
      <c r="E98" s="65"/>
      <c r="F98" s="65"/>
      <c r="G98" s="65"/>
      <c r="H98" s="65"/>
      <c r="I98" s="65"/>
      <c r="J98" s="65"/>
      <c r="K98" s="65"/>
      <c r="L98" s="65"/>
      <c r="M98" s="65"/>
    </row>
    <row r="99" spans="3:13" s="60" customFormat="1" ht="12.75">
      <c r="C99" s="64"/>
      <c r="D99" s="64"/>
      <c r="E99" s="65"/>
      <c r="F99" s="65"/>
      <c r="G99" s="65"/>
      <c r="H99" s="65"/>
      <c r="I99" s="65"/>
      <c r="J99" s="65"/>
      <c r="K99" s="65"/>
      <c r="L99" s="65"/>
      <c r="M99" s="65"/>
    </row>
    <row r="100" spans="3:13" s="60" customFormat="1" ht="12.75">
      <c r="C100" s="64"/>
      <c r="D100" s="64"/>
      <c r="E100" s="65"/>
      <c r="F100" s="65"/>
      <c r="G100" s="65"/>
      <c r="H100" s="65"/>
      <c r="I100" s="65"/>
      <c r="J100" s="65"/>
      <c r="K100" s="65"/>
      <c r="L100" s="65"/>
      <c r="M100" s="65"/>
    </row>
    <row r="101" spans="3:13" s="60" customFormat="1" ht="12.75">
      <c r="C101" s="64"/>
      <c r="D101" s="64"/>
      <c r="E101" s="65"/>
      <c r="F101" s="65"/>
      <c r="G101" s="65"/>
      <c r="H101" s="65"/>
      <c r="I101" s="65"/>
      <c r="J101" s="65"/>
      <c r="K101" s="65"/>
      <c r="L101" s="65"/>
      <c r="M101" s="65"/>
    </row>
    <row r="102" spans="3:13" s="60" customFormat="1" ht="12.75">
      <c r="C102" s="64"/>
      <c r="D102" s="64"/>
      <c r="E102" s="65"/>
      <c r="F102" s="65"/>
      <c r="G102" s="65"/>
      <c r="H102" s="65"/>
      <c r="I102" s="65"/>
      <c r="J102" s="65"/>
      <c r="K102" s="65"/>
      <c r="L102" s="65"/>
      <c r="M102" s="65"/>
    </row>
    <row r="103" spans="3:13" s="60" customFormat="1" ht="12.75">
      <c r="C103" s="64"/>
      <c r="D103" s="64"/>
      <c r="E103" s="65"/>
      <c r="F103" s="65"/>
      <c r="G103" s="65"/>
      <c r="H103" s="65"/>
      <c r="I103" s="65"/>
      <c r="J103" s="65"/>
      <c r="K103" s="65"/>
      <c r="L103" s="65"/>
      <c r="M103" s="65"/>
    </row>
    <row r="104" spans="3:13" s="60" customFormat="1" ht="12.75">
      <c r="C104" s="64"/>
      <c r="D104" s="64"/>
      <c r="E104" s="65"/>
      <c r="F104" s="65"/>
      <c r="G104" s="65"/>
      <c r="H104" s="65"/>
      <c r="I104" s="65"/>
      <c r="J104" s="65"/>
      <c r="K104" s="65"/>
      <c r="L104" s="65"/>
      <c r="M104" s="65"/>
    </row>
    <row r="105" spans="3:13" s="60" customFormat="1" ht="12.75">
      <c r="C105" s="64"/>
      <c r="D105" s="64"/>
      <c r="E105" s="65"/>
      <c r="F105" s="65"/>
      <c r="G105" s="65"/>
      <c r="H105" s="65"/>
      <c r="I105" s="65"/>
      <c r="J105" s="65"/>
      <c r="K105" s="65"/>
      <c r="L105" s="65"/>
      <c r="M105" s="65"/>
    </row>
    <row r="106" spans="3:13" s="60" customFormat="1" ht="12.75">
      <c r="C106" s="64"/>
      <c r="D106" s="64"/>
      <c r="E106" s="65"/>
      <c r="F106" s="65"/>
      <c r="H106" s="65"/>
      <c r="I106" s="65"/>
      <c r="J106" s="65"/>
      <c r="K106" s="65"/>
      <c r="L106" s="65"/>
      <c r="M106" s="65"/>
    </row>
    <row r="107" spans="3:13" s="60" customFormat="1" ht="12.75">
      <c r="C107" s="64"/>
      <c r="D107" s="64"/>
      <c r="E107" s="65"/>
      <c r="F107" s="65"/>
      <c r="H107" s="65"/>
      <c r="I107" s="65"/>
      <c r="J107" s="65"/>
      <c r="K107" s="65"/>
      <c r="L107" s="65"/>
      <c r="M107" s="65"/>
    </row>
    <row r="108" spans="3:13" s="60" customFormat="1" ht="12.75">
      <c r="C108" s="64"/>
      <c r="D108" s="64"/>
      <c r="E108" s="65"/>
      <c r="F108" s="65"/>
      <c r="H108" s="65"/>
      <c r="I108" s="65"/>
      <c r="J108" s="65"/>
      <c r="K108" s="65"/>
      <c r="L108" s="65"/>
      <c r="M108" s="65"/>
    </row>
    <row r="109" spans="3:13" s="60" customFormat="1" ht="12.75">
      <c r="C109" s="64"/>
      <c r="D109" s="64"/>
      <c r="E109" s="65"/>
      <c r="F109" s="65"/>
      <c r="H109" s="65"/>
      <c r="I109" s="65"/>
      <c r="J109" s="65"/>
      <c r="K109" s="65"/>
      <c r="L109" s="65"/>
      <c r="M109" s="65"/>
    </row>
    <row r="110" spans="3:13" s="60" customFormat="1" ht="12.75">
      <c r="C110" s="64"/>
      <c r="D110" s="64"/>
      <c r="E110" s="65"/>
      <c r="F110" s="65"/>
      <c r="G110" s="65"/>
      <c r="H110" s="65"/>
      <c r="I110" s="65"/>
      <c r="J110" s="65"/>
      <c r="K110" s="65"/>
      <c r="L110" s="65"/>
      <c r="M110" s="65"/>
    </row>
    <row r="111" spans="3:13" s="60" customFormat="1" ht="12.75">
      <c r="C111" s="64"/>
      <c r="D111" s="64"/>
      <c r="E111" s="65"/>
      <c r="F111" s="65"/>
      <c r="G111" s="65"/>
      <c r="H111" s="65"/>
      <c r="I111" s="65"/>
      <c r="J111" s="65"/>
      <c r="K111" s="65"/>
      <c r="L111" s="65"/>
      <c r="M111" s="65"/>
    </row>
    <row r="112" spans="3:13" s="60" customFormat="1" ht="12.75">
      <c r="C112" s="64"/>
      <c r="D112" s="64"/>
      <c r="E112" s="65"/>
      <c r="F112" s="65"/>
      <c r="G112" s="65"/>
      <c r="H112" s="65"/>
      <c r="I112" s="65"/>
      <c r="J112" s="65"/>
      <c r="K112" s="65"/>
      <c r="L112" s="65"/>
      <c r="M112" s="65"/>
    </row>
    <row r="113" spans="3:13" s="60" customFormat="1" ht="12.75">
      <c r="C113" s="64"/>
      <c r="D113" s="64"/>
      <c r="E113" s="65"/>
      <c r="F113" s="65"/>
      <c r="G113" s="65"/>
      <c r="H113" s="65"/>
      <c r="I113" s="65"/>
      <c r="J113" s="65"/>
      <c r="K113" s="65"/>
      <c r="L113" s="65"/>
      <c r="M113" s="65"/>
    </row>
    <row r="114" spans="3:13" s="60" customFormat="1" ht="12.75">
      <c r="C114" s="64"/>
      <c r="D114" s="64"/>
      <c r="E114" s="65"/>
      <c r="F114" s="65"/>
      <c r="G114" s="65"/>
      <c r="H114" s="65"/>
      <c r="I114" s="65"/>
      <c r="J114" s="65"/>
      <c r="K114" s="65"/>
      <c r="L114" s="65"/>
      <c r="M114" s="65"/>
    </row>
    <row r="115" spans="3:13" s="60" customFormat="1" ht="12.75">
      <c r="C115" s="64"/>
      <c r="D115" s="64"/>
      <c r="E115" s="65"/>
      <c r="F115" s="65"/>
      <c r="G115" s="65"/>
      <c r="H115" s="65"/>
      <c r="I115" s="65"/>
      <c r="J115" s="65"/>
      <c r="K115" s="65"/>
      <c r="L115" s="65"/>
      <c r="M115" s="65"/>
    </row>
    <row r="116" spans="3:13" s="60" customFormat="1" ht="12.75">
      <c r="C116" s="64"/>
      <c r="D116" s="64"/>
      <c r="E116" s="65"/>
      <c r="F116" s="65"/>
      <c r="G116" s="65"/>
      <c r="H116" s="65"/>
      <c r="I116" s="65"/>
      <c r="J116" s="65"/>
      <c r="K116" s="65"/>
      <c r="L116" s="65"/>
      <c r="M116" s="65"/>
    </row>
    <row r="117" spans="3:13" s="60" customFormat="1" ht="12.75">
      <c r="C117" s="64"/>
      <c r="D117" s="64"/>
      <c r="E117" s="65"/>
      <c r="F117" s="65"/>
      <c r="G117" s="65"/>
      <c r="H117" s="65"/>
      <c r="I117" s="65"/>
      <c r="J117" s="65"/>
      <c r="K117" s="65"/>
      <c r="L117" s="65"/>
      <c r="M117" s="65"/>
    </row>
    <row r="118" spans="3:16" s="60" customFormat="1" ht="12.75">
      <c r="C118" s="64"/>
      <c r="D118" s="64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</row>
    <row r="119" spans="3:16" s="60" customFormat="1" ht="12.75">
      <c r="C119" s="64"/>
      <c r="D119" s="64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</row>
    <row r="120" spans="3:16" s="60" customFormat="1" ht="12.75">
      <c r="C120" s="64"/>
      <c r="D120" s="64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</row>
    <row r="121" spans="3:16" s="60" customFormat="1" ht="12.75">
      <c r="C121" s="64"/>
      <c r="D121" s="64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</row>
    <row r="122" spans="3:16" s="60" customFormat="1" ht="12.75">
      <c r="C122" s="64"/>
      <c r="D122" s="64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</row>
    <row r="123" spans="3:16" s="60" customFormat="1" ht="12.75">
      <c r="C123" s="64"/>
      <c r="D123" s="64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</row>
    <row r="124" spans="3:16" s="60" customFormat="1" ht="12.75">
      <c r="C124" s="64"/>
      <c r="D124" s="64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</row>
    <row r="125" spans="3:16" s="60" customFormat="1" ht="12.75">
      <c r="C125" s="64"/>
      <c r="D125" s="64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</row>
    <row r="126" spans="3:16" s="60" customFormat="1" ht="12.75">
      <c r="C126" s="64"/>
      <c r="D126" s="64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</row>
    <row r="127" spans="3:16" s="60" customFormat="1" ht="12.75">
      <c r="C127" s="64"/>
      <c r="D127" s="64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</row>
    <row r="128" spans="3:16" s="60" customFormat="1" ht="12.75">
      <c r="C128" s="64"/>
      <c r="D128" s="64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</row>
    <row r="129" spans="3:16" s="60" customFormat="1" ht="12.75">
      <c r="C129" s="64"/>
      <c r="D129" s="64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</row>
    <row r="130" spans="3:16" s="60" customFormat="1" ht="12.75">
      <c r="C130" s="64"/>
      <c r="D130" s="64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</row>
    <row r="131" spans="3:16" s="60" customFormat="1" ht="12.75">
      <c r="C131" s="64"/>
      <c r="D131" s="64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</row>
    <row r="132" spans="3:16" s="60" customFormat="1" ht="12.75">
      <c r="C132" s="64"/>
      <c r="D132" s="64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</row>
    <row r="133" spans="3:16" s="60" customFormat="1" ht="12.75">
      <c r="C133" s="64"/>
      <c r="D133" s="64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</row>
    <row r="134" spans="3:16" s="60" customFormat="1" ht="12.75">
      <c r="C134" s="64"/>
      <c r="D134" s="64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</row>
    <row r="135" spans="3:16" s="60" customFormat="1" ht="12.75">
      <c r="C135" s="64"/>
      <c r="D135" s="64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</row>
    <row r="136" spans="3:16" s="60" customFormat="1" ht="12.75">
      <c r="C136" s="64"/>
      <c r="D136" s="64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</row>
    <row r="137" spans="3:16" s="60" customFormat="1" ht="12.75">
      <c r="C137" s="64"/>
      <c r="D137" s="64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</row>
    <row r="138" spans="3:16" s="60" customFormat="1" ht="12.75">
      <c r="C138" s="64"/>
      <c r="D138" s="64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</row>
    <row r="139" spans="3:16" s="60" customFormat="1" ht="12.75">
      <c r="C139" s="64"/>
      <c r="D139" s="64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</row>
    <row r="140" spans="3:16" s="60" customFormat="1" ht="12.75">
      <c r="C140" s="64"/>
      <c r="D140" s="64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</row>
    <row r="141" spans="3:16" s="60" customFormat="1" ht="12.75">
      <c r="C141" s="64"/>
      <c r="D141" s="64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</row>
    <row r="142" spans="3:16" s="60" customFormat="1" ht="12.75">
      <c r="C142" s="64"/>
      <c r="D142" s="64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</row>
    <row r="143" spans="3:16" s="60" customFormat="1" ht="12.75">
      <c r="C143" s="64"/>
      <c r="D143" s="64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</row>
    <row r="144" spans="3:16" s="60" customFormat="1" ht="12.75">
      <c r="C144" s="64"/>
      <c r="D144" s="64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</row>
    <row r="145" spans="3:16" s="60" customFormat="1" ht="12.75">
      <c r="C145" s="64"/>
      <c r="D145" s="64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</row>
    <row r="146" spans="3:16" s="60" customFormat="1" ht="12.75">
      <c r="C146" s="64"/>
      <c r="D146" s="64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</row>
    <row r="147" spans="3:16" s="60" customFormat="1" ht="12.75">
      <c r="C147" s="64"/>
      <c r="D147" s="64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</row>
    <row r="148" spans="3:16" s="60" customFormat="1" ht="12.75">
      <c r="C148" s="64"/>
      <c r="D148" s="64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</row>
    <row r="149" spans="3:16" s="60" customFormat="1" ht="12.75">
      <c r="C149" s="64"/>
      <c r="D149" s="64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Winnefox Library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prplstaff</dc:creator>
  <cp:keywords/>
  <dc:description/>
  <cp:lastModifiedBy>Joy Schwarz</cp:lastModifiedBy>
  <cp:lastPrinted>2012-09-05T20:30:20Z</cp:lastPrinted>
  <dcterms:created xsi:type="dcterms:W3CDTF">2001-08-29T14:38:24Z</dcterms:created>
  <dcterms:modified xsi:type="dcterms:W3CDTF">2012-09-05T20:41:28Z</dcterms:modified>
  <cp:category/>
  <cp:version/>
  <cp:contentType/>
  <cp:contentStatus/>
</cp:coreProperties>
</file>